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asters Degree\DUPONT\Phase I SOW (02-21-19)\"/>
    </mc:Choice>
  </mc:AlternateContent>
  <bookViews>
    <workbookView xWindow="-19320" yWindow="855" windowWidth="19440" windowHeight="15000" tabRatio="819" activeTab="10"/>
  </bookViews>
  <sheets>
    <sheet name="SOW" sheetId="1" r:id="rId1"/>
    <sheet name="Test Matrix" sheetId="2" r:id="rId2"/>
    <sheet name="CF Calculations" sheetId="3" r:id="rId3"/>
    <sheet name="References" sheetId="5" r:id="rId4"/>
    <sheet name="Tip Velocities" sheetId="7" r:id="rId5"/>
    <sheet name="Linear Ice Accretion" sheetId="8" r:id="rId6"/>
    <sheet name="Min. Shedding Thicknesses" sheetId="9" r:id="rId7"/>
    <sheet name="Power Variation" sheetId="10" r:id="rId8"/>
    <sheet name="Digitzed Areas" sheetId="4" r:id="rId9"/>
    <sheet name="Controller" sheetId="11" r:id="rId10"/>
    <sheet name="Sheet1" sheetId="12" r:id="rId11"/>
  </sheets>
  <definedNames>
    <definedName name="_xlchart.v1.0" hidden="1">Sheet1!$D$6:$D$31</definedName>
    <definedName name="_xlchart.v1.1" hidden="1">Sheet1!$E$6:$E$31</definedName>
    <definedName name="_xlchart.v1.2" hidden="1">Sheet1!$D$6:$D$31</definedName>
    <definedName name="_xlchart.v1.3" hidden="1">Sheet1!$E$6:$E$31</definedName>
    <definedName name="_xlnm.Print_Area" localSheetId="1">'Test Matrix'!$B$57:$S$119</definedName>
    <definedName name="_xlnm.Print_Area" localSheetId="4">'Tip Velocities'!$A$1:$F$8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64" i="11" l="1"/>
  <c r="W65" i="11"/>
  <c r="W66" i="11"/>
  <c r="W67" i="11"/>
  <c r="W68" i="11"/>
  <c r="W69" i="11"/>
  <c r="W70" i="11"/>
  <c r="W71" i="11"/>
  <c r="W72" i="11"/>
  <c r="W73" i="11"/>
  <c r="W74" i="11"/>
  <c r="W75" i="11"/>
  <c r="W76" i="11"/>
  <c r="W77" i="11"/>
  <c r="W78" i="11"/>
  <c r="W79" i="11"/>
  <c r="W80" i="11"/>
  <c r="W81" i="11"/>
  <c r="W82" i="11"/>
  <c r="W83" i="11"/>
  <c r="W84" i="11"/>
  <c r="W85" i="11"/>
  <c r="W86" i="11"/>
  <c r="W63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61" i="11"/>
  <c r="U75" i="11"/>
  <c r="U76" i="11"/>
  <c r="U77" i="11"/>
  <c r="U78" i="11"/>
  <c r="U79" i="11"/>
  <c r="U80" i="11"/>
  <c r="U81" i="11"/>
  <c r="U82" i="11"/>
  <c r="U74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U59" i="11"/>
  <c r="T73" i="11"/>
  <c r="T74" i="11"/>
  <c r="T75" i="11"/>
  <c r="T76" i="11"/>
  <c r="T77" i="11"/>
  <c r="T78" i="11"/>
  <c r="T79" i="11"/>
  <c r="T80" i="11"/>
  <c r="T72" i="11"/>
  <c r="T58" i="11"/>
  <c r="T59" i="11"/>
  <c r="T60" i="11"/>
  <c r="T61" i="11"/>
  <c r="T62" i="11"/>
  <c r="T63" i="11"/>
  <c r="T64" i="11"/>
  <c r="T65" i="11"/>
  <c r="T66" i="11"/>
  <c r="T67" i="11"/>
  <c r="T68" i="11"/>
  <c r="T69" i="11"/>
  <c r="T70" i="11"/>
  <c r="T57" i="11"/>
  <c r="U50" i="11"/>
  <c r="U51" i="11"/>
  <c r="U52" i="11"/>
  <c r="U53" i="11"/>
  <c r="U54" i="11"/>
  <c r="U55" i="11"/>
  <c r="U56" i="11"/>
  <c r="U57" i="11"/>
  <c r="U49" i="11"/>
  <c r="T48" i="11"/>
  <c r="T49" i="11"/>
  <c r="T50" i="11"/>
  <c r="T51" i="11"/>
  <c r="T52" i="11"/>
  <c r="T53" i="11"/>
  <c r="T54" i="11"/>
  <c r="T55" i="11"/>
  <c r="T47" i="11"/>
  <c r="W39" i="11"/>
  <c r="W40" i="11"/>
  <c r="W41" i="11"/>
  <c r="W42" i="11"/>
  <c r="W43" i="11"/>
  <c r="W44" i="11"/>
  <c r="W45" i="11"/>
  <c r="W46" i="11"/>
  <c r="W47" i="11"/>
  <c r="W48" i="11"/>
  <c r="W49" i="11"/>
  <c r="W50" i="11"/>
  <c r="W51" i="11"/>
  <c r="W52" i="11"/>
  <c r="W53" i="11"/>
  <c r="W54" i="11"/>
  <c r="W55" i="11"/>
  <c r="W56" i="11"/>
  <c r="W57" i="11"/>
  <c r="W58" i="11"/>
  <c r="W59" i="11"/>
  <c r="W60" i="11"/>
  <c r="W61" i="11"/>
  <c r="W38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36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34" i="11"/>
  <c r="T33" i="11"/>
  <c r="T34" i="11"/>
  <c r="T35" i="11"/>
  <c r="T36" i="11"/>
  <c r="T37" i="11"/>
  <c r="T38" i="11"/>
  <c r="T39" i="11"/>
  <c r="T40" i="11"/>
  <c r="T41" i="11"/>
  <c r="T42" i="11"/>
  <c r="T43" i="11"/>
  <c r="T44" i="11"/>
  <c r="T45" i="11"/>
  <c r="T32" i="11"/>
  <c r="U24" i="11"/>
  <c r="U25" i="11"/>
  <c r="U26" i="11"/>
  <c r="U27" i="11"/>
  <c r="U28" i="11"/>
  <c r="U29" i="11"/>
  <c r="U30" i="11"/>
  <c r="U31" i="11"/>
  <c r="U32" i="11"/>
  <c r="U23" i="11"/>
  <c r="T22" i="11"/>
  <c r="T23" i="11"/>
  <c r="T24" i="11"/>
  <c r="T25" i="11"/>
  <c r="T26" i="11"/>
  <c r="T27" i="11"/>
  <c r="T28" i="11"/>
  <c r="T29" i="11"/>
  <c r="T30" i="11"/>
  <c r="T21" i="11"/>
  <c r="W36" i="11"/>
  <c r="W35" i="11"/>
  <c r="V34" i="11"/>
  <c r="W34" i="11"/>
  <c r="V33" i="11"/>
  <c r="W33" i="11"/>
  <c r="V32" i="11"/>
  <c r="W32" i="11"/>
  <c r="V31" i="11"/>
  <c r="W31" i="11"/>
  <c r="V30" i="11"/>
  <c r="W30" i="11"/>
  <c r="V29" i="11"/>
  <c r="W29" i="11"/>
  <c r="V28" i="11"/>
  <c r="W28" i="11"/>
  <c r="V27" i="11"/>
  <c r="W27" i="11"/>
  <c r="V26" i="11"/>
  <c r="W26" i="11"/>
  <c r="V25" i="11"/>
  <c r="W25" i="11"/>
  <c r="V24" i="11"/>
  <c r="W24" i="11"/>
  <c r="V23" i="11"/>
  <c r="W23" i="11"/>
  <c r="V22" i="11"/>
  <c r="W22" i="11"/>
  <c r="U21" i="11"/>
  <c r="V21" i="11"/>
  <c r="W21" i="11"/>
  <c r="U20" i="11"/>
  <c r="V20" i="11"/>
  <c r="W20" i="11"/>
  <c r="T19" i="11"/>
  <c r="U19" i="11"/>
  <c r="V19" i="11"/>
  <c r="W19" i="11"/>
  <c r="T18" i="11"/>
  <c r="U18" i="11"/>
  <c r="V18" i="11"/>
  <c r="W18" i="11"/>
  <c r="M72" i="11"/>
  <c r="M73" i="11"/>
  <c r="M74" i="11"/>
  <c r="M75" i="11"/>
  <c r="M76" i="11"/>
  <c r="M77" i="11"/>
  <c r="M78" i="11"/>
  <c r="M79" i="11"/>
  <c r="M71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57" i="11"/>
  <c r="M48" i="11"/>
  <c r="M49" i="11"/>
  <c r="M50" i="11"/>
  <c r="M51" i="11"/>
  <c r="M52" i="11"/>
  <c r="M53" i="11"/>
  <c r="M54" i="11"/>
  <c r="M55" i="11"/>
  <c r="M47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O80" i="11"/>
  <c r="O81" i="11"/>
  <c r="O82" i="11"/>
  <c r="O83" i="11"/>
  <c r="O61" i="11"/>
  <c r="O59" i="11"/>
  <c r="O60" i="11"/>
  <c r="N60" i="11"/>
  <c r="N61" i="11"/>
  <c r="N62" i="11"/>
  <c r="N63" i="11"/>
  <c r="N64" i="11"/>
  <c r="N65" i="11"/>
  <c r="N66" i="11"/>
  <c r="N67" i="11"/>
  <c r="N68" i="11"/>
  <c r="N69" i="11"/>
  <c r="N70" i="11"/>
  <c r="N71" i="11"/>
  <c r="N72" i="11"/>
  <c r="N73" i="11"/>
  <c r="N74" i="11"/>
  <c r="N75" i="11"/>
  <c r="N76" i="11"/>
  <c r="N77" i="11"/>
  <c r="N78" i="11"/>
  <c r="N79" i="11"/>
  <c r="N80" i="11"/>
  <c r="N81" i="11"/>
  <c r="N59" i="11"/>
  <c r="L77" i="11"/>
  <c r="L70" i="11"/>
  <c r="L71" i="11"/>
  <c r="L72" i="11"/>
  <c r="L73" i="11"/>
  <c r="L74" i="11"/>
  <c r="L75" i="11"/>
  <c r="L76" i="11"/>
  <c r="L69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55" i="11"/>
  <c r="L46" i="11"/>
  <c r="L47" i="11"/>
  <c r="L48" i="11"/>
  <c r="L49" i="11"/>
  <c r="L50" i="11"/>
  <c r="L51" i="11"/>
  <c r="L52" i="11"/>
  <c r="L53" i="11"/>
  <c r="L45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O53" i="11"/>
  <c r="O54" i="11"/>
  <c r="O55" i="11"/>
  <c r="O56" i="11"/>
  <c r="O57" i="11"/>
  <c r="O58" i="11"/>
  <c r="O37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N53" i="11"/>
  <c r="N54" i="11"/>
  <c r="N55" i="11"/>
  <c r="N56" i="11"/>
  <c r="N57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O14" i="11"/>
  <c r="O15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13" i="11"/>
  <c r="N35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13" i="11"/>
  <c r="M33" i="11"/>
  <c r="M24" i="11"/>
  <c r="M25" i="11"/>
  <c r="M26" i="11"/>
  <c r="M27" i="11"/>
  <c r="M28" i="11"/>
  <c r="M29" i="11"/>
  <c r="M30" i="11"/>
  <c r="M31" i="11"/>
  <c r="M23" i="11"/>
  <c r="M14" i="11"/>
  <c r="M15" i="11"/>
  <c r="M16" i="11"/>
  <c r="M17" i="11"/>
  <c r="M18" i="11"/>
  <c r="M19" i="11"/>
  <c r="M20" i="11"/>
  <c r="M21" i="11"/>
  <c r="M13" i="11"/>
  <c r="L31" i="11"/>
  <c r="L22" i="11"/>
  <c r="L23" i="11"/>
  <c r="L24" i="11"/>
  <c r="L25" i="11"/>
  <c r="L26" i="11"/>
  <c r="L27" i="11"/>
  <c r="L28" i="11"/>
  <c r="L29" i="11"/>
  <c r="L21" i="11"/>
  <c r="L14" i="11"/>
  <c r="L15" i="11"/>
  <c r="L16" i="11"/>
  <c r="L17" i="11"/>
  <c r="L18" i="11"/>
  <c r="L19" i="11"/>
  <c r="L13" i="11"/>
  <c r="AI35" i="4"/>
  <c r="AH35" i="4"/>
  <c r="AG35" i="4"/>
  <c r="AF35" i="4"/>
  <c r="N40" i="4"/>
  <c r="O40" i="4"/>
  <c r="P40" i="4"/>
  <c r="Q40" i="4"/>
  <c r="N39" i="4"/>
  <c r="O39" i="4"/>
  <c r="P39" i="4"/>
  <c r="Q39" i="4"/>
  <c r="H7" i="9"/>
  <c r="H6" i="9"/>
  <c r="H5" i="9"/>
  <c r="H4" i="9"/>
  <c r="E13" i="1"/>
  <c r="F40" i="4"/>
  <c r="G40" i="4"/>
  <c r="H40" i="4"/>
  <c r="I40" i="4"/>
  <c r="J40" i="4"/>
  <c r="K40" i="4"/>
  <c r="L40" i="4"/>
  <c r="M40" i="4"/>
  <c r="E40" i="4"/>
  <c r="D40" i="4"/>
  <c r="C40" i="4"/>
  <c r="B40" i="4"/>
  <c r="G15" i="3"/>
  <c r="C39" i="4"/>
  <c r="D39" i="4"/>
  <c r="E39" i="4"/>
  <c r="F39" i="4"/>
  <c r="G39" i="4"/>
  <c r="H39" i="4"/>
  <c r="I39" i="4"/>
  <c r="J39" i="4"/>
  <c r="K39" i="4"/>
  <c r="L39" i="4"/>
  <c r="M39" i="4"/>
  <c r="B39" i="4"/>
  <c r="J11" i="3"/>
  <c r="W14" i="11" l="1"/>
  <c r="W15" i="11"/>
  <c r="W16" i="11"/>
  <c r="W17" i="11"/>
  <c r="W13" i="11"/>
  <c r="V14" i="11"/>
  <c r="V15" i="11"/>
  <c r="V16" i="11"/>
  <c r="V17" i="11"/>
  <c r="V13" i="11"/>
  <c r="U14" i="11"/>
  <c r="U15" i="11"/>
  <c r="U16" i="11"/>
  <c r="U17" i="11"/>
  <c r="U13" i="11"/>
  <c r="T14" i="11"/>
  <c r="T15" i="11"/>
  <c r="T16" i="11"/>
  <c r="T17" i="11"/>
  <c r="T13" i="11"/>
  <c r="U6" i="11"/>
  <c r="V6" i="11" s="1"/>
  <c r="U5" i="11"/>
  <c r="V5" i="11" s="1"/>
  <c r="U4" i="11"/>
  <c r="V4" i="11" s="1"/>
  <c r="U3" i="11"/>
  <c r="V3" i="11" s="1"/>
  <c r="D13" i="11"/>
  <c r="M6" i="11" l="1"/>
  <c r="N6" i="11" s="1"/>
  <c r="M5" i="11"/>
  <c r="N5" i="11" s="1"/>
  <c r="M4" i="11"/>
  <c r="N4" i="11" s="1"/>
  <c r="M3" i="11"/>
  <c r="N3" i="11" s="1"/>
  <c r="E80" i="11"/>
  <c r="E76" i="11"/>
  <c r="E77" i="11"/>
  <c r="E78" i="11"/>
  <c r="E79" i="11"/>
  <c r="E75" i="11"/>
  <c r="D78" i="11"/>
  <c r="D74" i="11"/>
  <c r="D75" i="11"/>
  <c r="D76" i="11"/>
  <c r="D77" i="11"/>
  <c r="D73" i="11"/>
  <c r="G84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68" i="11"/>
  <c r="F82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66" i="11"/>
  <c r="E73" i="11"/>
  <c r="E72" i="11"/>
  <c r="E65" i="11"/>
  <c r="E66" i="11"/>
  <c r="E67" i="11"/>
  <c r="E68" i="11"/>
  <c r="E69" i="11"/>
  <c r="E70" i="11"/>
  <c r="E71" i="11"/>
  <c r="E64" i="11"/>
  <c r="D71" i="11"/>
  <c r="D63" i="11"/>
  <c r="D64" i="11"/>
  <c r="D65" i="11"/>
  <c r="D66" i="11"/>
  <c r="D67" i="11"/>
  <c r="D68" i="11"/>
  <c r="D69" i="11"/>
  <c r="D70" i="11"/>
  <c r="D62" i="11"/>
  <c r="E62" i="11"/>
  <c r="E58" i="11"/>
  <c r="E59" i="11"/>
  <c r="E60" i="11"/>
  <c r="E61" i="11"/>
  <c r="E57" i="11"/>
  <c r="D60" i="11"/>
  <c r="D56" i="11"/>
  <c r="D57" i="11"/>
  <c r="D58" i="11"/>
  <c r="D59" i="11"/>
  <c r="D55" i="11"/>
  <c r="G66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50" i="11"/>
  <c r="F64" i="11"/>
  <c r="F63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48" i="11"/>
  <c r="E54" i="11"/>
  <c r="E47" i="11"/>
  <c r="E48" i="11"/>
  <c r="E49" i="11"/>
  <c r="E50" i="11"/>
  <c r="E51" i="11"/>
  <c r="E52" i="11"/>
  <c r="E53" i="11"/>
  <c r="E46" i="11"/>
  <c r="E55" i="11"/>
  <c r="D45" i="11"/>
  <c r="D46" i="11"/>
  <c r="D47" i="11"/>
  <c r="D48" i="11"/>
  <c r="D49" i="11"/>
  <c r="D50" i="11"/>
  <c r="D51" i="11"/>
  <c r="D52" i="11"/>
  <c r="D44" i="11"/>
  <c r="D53" i="11"/>
  <c r="G48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32" i="11"/>
  <c r="E44" i="11"/>
  <c r="E40" i="11"/>
  <c r="E41" i="11"/>
  <c r="E42" i="11"/>
  <c r="E43" i="11"/>
  <c r="E39" i="11"/>
  <c r="D42" i="11"/>
  <c r="D38" i="11"/>
  <c r="D39" i="11"/>
  <c r="D40" i="11"/>
  <c r="D41" i="11"/>
  <c r="D37" i="11"/>
  <c r="F46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30" i="11"/>
  <c r="E37" i="11"/>
  <c r="E29" i="11"/>
  <c r="E30" i="11"/>
  <c r="E31" i="11"/>
  <c r="E32" i="11"/>
  <c r="E33" i="11"/>
  <c r="E34" i="11"/>
  <c r="E35" i="11"/>
  <c r="E36" i="11"/>
  <c r="E28" i="11"/>
  <c r="D35" i="11"/>
  <c r="D26" i="11"/>
  <c r="D27" i="11"/>
  <c r="D28" i="11"/>
  <c r="D29" i="11"/>
  <c r="D30" i="11"/>
  <c r="D31" i="11"/>
  <c r="D32" i="11"/>
  <c r="D33" i="11"/>
  <c r="D34" i="11"/>
  <c r="E22" i="11"/>
  <c r="E23" i="11"/>
  <c r="E24" i="11"/>
  <c r="E25" i="11"/>
  <c r="E21" i="11"/>
  <c r="D20" i="11"/>
  <c r="D21" i="11"/>
  <c r="D22" i="11"/>
  <c r="D23" i="11"/>
  <c r="D19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13" i="11"/>
  <c r="E14" i="11"/>
  <c r="E15" i="11"/>
  <c r="E16" i="11"/>
  <c r="E17" i="11"/>
  <c r="E18" i="11"/>
  <c r="E13" i="11"/>
  <c r="D14" i="11"/>
  <c r="D15" i="11"/>
  <c r="D16" i="11"/>
  <c r="G30" i="11"/>
  <c r="F28" i="11"/>
  <c r="E26" i="11"/>
  <c r="D24" i="11"/>
  <c r="E19" i="11"/>
  <c r="D17" i="11"/>
  <c r="F5" i="11"/>
  <c r="F3" i="11"/>
  <c r="E4" i="11"/>
  <c r="F4" i="11" s="1"/>
  <c r="E5" i="11"/>
  <c r="E6" i="11"/>
  <c r="F6" i="11" s="1"/>
  <c r="E3" i="11"/>
  <c r="G37" i="2" l="1"/>
  <c r="P106" i="2" l="1"/>
  <c r="P105" i="2"/>
  <c r="P104" i="2"/>
  <c r="P103" i="2"/>
  <c r="P102" i="2"/>
  <c r="P101" i="2"/>
  <c r="P100" i="2"/>
  <c r="P99" i="2"/>
  <c r="P98" i="2"/>
  <c r="P93" i="2"/>
  <c r="P94" i="2"/>
  <c r="P95" i="2"/>
  <c r="P96" i="2"/>
  <c r="P92" i="2"/>
  <c r="P91" i="2"/>
  <c r="P86" i="2"/>
  <c r="P85" i="2"/>
  <c r="P84" i="2"/>
  <c r="P82" i="2"/>
  <c r="P81" i="2"/>
  <c r="P80" i="2"/>
  <c r="P78" i="2"/>
  <c r="P77" i="2"/>
  <c r="P76" i="2"/>
  <c r="P74" i="2"/>
  <c r="P73" i="2"/>
  <c r="P72" i="2"/>
  <c r="P71" i="2"/>
  <c r="P70" i="2"/>
  <c r="P69" i="2"/>
  <c r="P68" i="2"/>
  <c r="P67" i="2"/>
  <c r="P66" i="2"/>
  <c r="P61" i="2"/>
  <c r="P62" i="2"/>
  <c r="P63" i="2"/>
  <c r="P60" i="2"/>
  <c r="P59" i="2"/>
  <c r="P55" i="2"/>
  <c r="P56" i="2"/>
  <c r="P54" i="2"/>
  <c r="P53" i="2"/>
  <c r="P51" i="2"/>
  <c r="P52" i="2"/>
  <c r="P50" i="2"/>
  <c r="P49" i="2"/>
  <c r="P44" i="2" l="1"/>
  <c r="P45" i="2"/>
  <c r="P46" i="2"/>
  <c r="P47" i="2"/>
  <c r="P43" i="2"/>
  <c r="P42" i="2"/>
  <c r="P39" i="2"/>
  <c r="P37" i="2"/>
  <c r="P4" i="2"/>
  <c r="E119" i="2" l="1"/>
  <c r="E118" i="2"/>
  <c r="E117" i="2"/>
  <c r="E116" i="2"/>
  <c r="E115" i="2"/>
  <c r="E114" i="2"/>
  <c r="E113" i="2"/>
  <c r="E112" i="2"/>
  <c r="E111" i="2"/>
  <c r="E110" i="2"/>
  <c r="E109" i="2"/>
  <c r="E108" i="2"/>
  <c r="E96" i="2"/>
  <c r="G96" i="2" s="1"/>
  <c r="E95" i="2"/>
  <c r="G95" i="2" s="1"/>
  <c r="E94" i="2"/>
  <c r="G94" i="2" s="1"/>
  <c r="E93" i="2"/>
  <c r="G93" i="2" s="1"/>
  <c r="E92" i="2"/>
  <c r="G92" i="2" s="1"/>
  <c r="E91" i="2"/>
  <c r="G91" i="2" s="1"/>
  <c r="E87" i="2"/>
  <c r="E86" i="2"/>
  <c r="G86" i="2" s="1"/>
  <c r="E85" i="2"/>
  <c r="G85" i="2" s="1"/>
  <c r="E84" i="2"/>
  <c r="G84" i="2" s="1"/>
  <c r="E83" i="2"/>
  <c r="E82" i="2"/>
  <c r="G82" i="2" s="1"/>
  <c r="E81" i="2"/>
  <c r="G81" i="2" s="1"/>
  <c r="E80" i="2"/>
  <c r="G80" i="2" s="1"/>
  <c r="E79" i="2"/>
  <c r="E78" i="2"/>
  <c r="G78" i="2" s="1"/>
  <c r="E77" i="2"/>
  <c r="G77" i="2" s="1"/>
  <c r="E76" i="2"/>
  <c r="G76" i="2" s="1"/>
  <c r="E60" i="2"/>
  <c r="G60" i="2" s="1"/>
  <c r="E61" i="2"/>
  <c r="G61" i="2" s="1"/>
  <c r="E62" i="2"/>
  <c r="G62" i="2" s="1"/>
  <c r="E63" i="2"/>
  <c r="G63" i="2" s="1"/>
  <c r="E64" i="2"/>
  <c r="E59" i="2"/>
  <c r="G59" i="2" s="1"/>
  <c r="E56" i="2"/>
  <c r="G56" i="2" s="1"/>
  <c r="E55" i="2"/>
  <c r="G55" i="2" s="1"/>
  <c r="E54" i="2"/>
  <c r="G54" i="2" s="1"/>
  <c r="E53" i="2"/>
  <c r="G53" i="2" s="1"/>
  <c r="E50" i="2"/>
  <c r="G50" i="2" s="1"/>
  <c r="E51" i="2"/>
  <c r="G51" i="2" s="1"/>
  <c r="E52" i="2"/>
  <c r="G52" i="2" s="1"/>
  <c r="E49" i="2"/>
  <c r="G49" i="2" s="1"/>
  <c r="E38" i="2"/>
  <c r="E39" i="2"/>
  <c r="G39" i="2" s="1"/>
  <c r="E40" i="2"/>
  <c r="E37" i="2"/>
  <c r="B11" i="3" l="1"/>
  <c r="E33" i="2" l="1"/>
  <c r="G33" i="2" s="1"/>
  <c r="P33" i="2"/>
  <c r="E32" i="2" l="1"/>
  <c r="G32" i="2" s="1"/>
  <c r="P32" i="2"/>
  <c r="E31" i="2" l="1"/>
  <c r="G31" i="2" s="1"/>
  <c r="P31" i="2"/>
  <c r="G30" i="2"/>
  <c r="P30" i="2"/>
  <c r="P28" i="2"/>
  <c r="G28" i="2" l="1"/>
  <c r="G22" i="2"/>
  <c r="G23" i="2"/>
  <c r="G24" i="2"/>
  <c r="G25" i="2"/>
  <c r="G26" i="2"/>
  <c r="G21" i="2"/>
  <c r="G20" i="2"/>
  <c r="P27" i="2"/>
  <c r="P26" i="2"/>
  <c r="P25" i="2"/>
  <c r="P24" i="2"/>
  <c r="P23" i="2"/>
  <c r="P22" i="2"/>
  <c r="P21" i="2"/>
  <c r="P20" i="2"/>
  <c r="P19" i="2" l="1"/>
  <c r="P18" i="2"/>
  <c r="P17" i="2" l="1"/>
  <c r="P16" i="2"/>
  <c r="P15" i="2"/>
  <c r="P14" i="2"/>
  <c r="H11" i="3" l="1"/>
  <c r="P13" i="2" l="1"/>
  <c r="E13" i="2" l="1"/>
  <c r="G13" i="2" s="1"/>
  <c r="J5" i="3" l="1"/>
  <c r="C15" i="3" s="1"/>
  <c r="C16" i="3" s="1"/>
  <c r="E17" i="1"/>
  <c r="E18" i="1" s="1"/>
  <c r="E19" i="1" s="1"/>
  <c r="C17" i="3" l="1"/>
  <c r="K15" i="3"/>
  <c r="K16" i="3" s="1"/>
  <c r="K17" i="3" s="1"/>
  <c r="O15" i="3"/>
  <c r="O16" i="3" s="1"/>
  <c r="O17" i="3" s="1"/>
  <c r="P10" i="2"/>
  <c r="E10" i="2"/>
  <c r="G10" i="2" s="1"/>
  <c r="P9" i="2"/>
  <c r="E9" i="2"/>
  <c r="G9" i="2" s="1"/>
  <c r="P8" i="2"/>
  <c r="E8" i="2"/>
  <c r="G8" i="2" s="1"/>
  <c r="P7" i="2"/>
  <c r="E7" i="2"/>
  <c r="G7" i="2" s="1"/>
  <c r="P6" i="2"/>
  <c r="E6" i="2"/>
  <c r="G6" i="2" s="1"/>
  <c r="P5" i="2"/>
  <c r="E5" i="2"/>
  <c r="G5" i="2" s="1"/>
  <c r="E4" i="2"/>
  <c r="G4" i="2" s="1"/>
  <c r="O3" i="2"/>
  <c r="P3" i="2" s="1"/>
  <c r="G16" i="3" l="1"/>
  <c r="G17" i="3" s="1"/>
  <c r="E8" i="1"/>
  <c r="E3" i="2"/>
  <c r="G3" i="2" s="1"/>
  <c r="E7" i="1"/>
</calcChain>
</file>

<file path=xl/sharedStrings.xml><?xml version="1.0" encoding="utf-8"?>
<sst xmlns="http://schemas.openxmlformats.org/spreadsheetml/2006/main" count="900" uniqueCount="264">
  <si>
    <t>Power</t>
  </si>
  <si>
    <t>Coverage</t>
  </si>
  <si>
    <t>m^2</t>
  </si>
  <si>
    <t>Blades</t>
  </si>
  <si>
    <t>Zones/blade</t>
  </si>
  <si>
    <t>Watts</t>
  </si>
  <si>
    <t>MAX CURRENT ALLOWED</t>
  </si>
  <si>
    <t>A</t>
  </si>
  <si>
    <t>Vrms</t>
  </si>
  <si>
    <t>Power Density/Zone</t>
  </si>
  <si>
    <t>W/m^2</t>
  </si>
  <si>
    <t>Blade radius</t>
  </si>
  <si>
    <t>m</t>
  </si>
  <si>
    <t>Coverage chord</t>
  </si>
  <si>
    <t>V</t>
  </si>
  <si>
    <t>W/cm^2</t>
  </si>
  <si>
    <t>Voltage Requested</t>
  </si>
  <si>
    <t>Max current</t>
  </si>
  <si>
    <t>Voltage Requested rms</t>
  </si>
  <si>
    <t>W/in^2</t>
  </si>
  <si>
    <t>Jose's gut feeling: 5 w/in^2 needed at a minimum to prevent major run-back issues</t>
  </si>
  <si>
    <t>Irms</t>
  </si>
  <si>
    <t>Test Case 1</t>
  </si>
  <si>
    <t>Accretion RPM</t>
  </si>
  <si>
    <t>Shedding RPM</t>
  </si>
  <si>
    <t>Test Case 2</t>
  </si>
  <si>
    <t>Test Case 3</t>
  </si>
  <si>
    <t>Test Case 4</t>
  </si>
  <si>
    <t>Test Case 5</t>
  </si>
  <si>
    <t>Test Case 6</t>
  </si>
  <si>
    <t>Test Case 7</t>
  </si>
  <si>
    <t>Test Case 8</t>
  </si>
  <si>
    <t>No Shed (melt)</t>
  </si>
  <si>
    <t>Test Type</t>
  </si>
  <si>
    <t>Adhesion</t>
  </si>
  <si>
    <t>Cohesive Failure</t>
  </si>
  <si>
    <t>Phase 1</t>
  </si>
  <si>
    <t>Failure</t>
  </si>
  <si>
    <t>r1 (m)</t>
  </si>
  <si>
    <t>r2 (m)</t>
  </si>
  <si>
    <t>r3 (m)</t>
  </si>
  <si>
    <t>r4 (m)</t>
  </si>
  <si>
    <t>r5 (m)</t>
  </si>
  <si>
    <t>Zone 1</t>
  </si>
  <si>
    <t>Density (kg/m^3)</t>
  </si>
  <si>
    <t>WT Ice Mass (kg)</t>
  </si>
  <si>
    <t>CF Force</t>
  </si>
  <si>
    <t>WT (RPM)</t>
  </si>
  <si>
    <t>WT (rad/sec)</t>
  </si>
  <si>
    <t>Newtons</t>
  </si>
  <si>
    <t>Ω in AERTS</t>
  </si>
  <si>
    <t>rad/sec</t>
  </si>
  <si>
    <t>RPM</t>
  </si>
  <si>
    <t>AERTS Ice Mass (kg)</t>
  </si>
  <si>
    <t>Zone 2</t>
  </si>
  <si>
    <t>Zone 3</t>
  </si>
  <si>
    <t>Zone 4</t>
  </si>
  <si>
    <t>Length of WT Zone (m)</t>
  </si>
  <si>
    <t>Length of AERTS Zone (m)</t>
  </si>
  <si>
    <t>Test Case 9</t>
  </si>
  <si>
    <t>0.21" thickness</t>
  </si>
  <si>
    <t>0.41" thickness</t>
  </si>
  <si>
    <t>Digitized Area (m^2)</t>
  </si>
  <si>
    <t>RMS Voltage           (VAC)</t>
  </si>
  <si>
    <t>RMS          Current (A)</t>
  </si>
  <si>
    <t>Variac        (VAC)</t>
  </si>
  <si>
    <t>Heater Resistance         (ohms)</t>
  </si>
  <si>
    <t>Power       (Watts)</t>
  </si>
  <si>
    <t>Power Density        (W/cm^2)</t>
  </si>
  <si>
    <t>MVD        (microns)</t>
  </si>
  <si>
    <t>Accretion Time       (mins)</t>
  </si>
  <si>
    <t>Ice Thickness      (mm)</t>
  </si>
  <si>
    <t>Ice Thickness       (in)</t>
  </si>
  <si>
    <t>Time of 1st Shed       (secs)</t>
  </si>
  <si>
    <t>Time of 2nd Shed       (secs)</t>
  </si>
  <si>
    <t>16.0469 cm^2</t>
  </si>
  <si>
    <t>NOT OFFICIAL (MUST RE-DO)</t>
  </si>
  <si>
    <t>Radius in AERTS (m) (1.397m - 6")</t>
  </si>
  <si>
    <t>per zone of 45 m span x 0.74 x 1 m</t>
  </si>
  <si>
    <t>N/A</t>
  </si>
  <si>
    <t>Radius from root to each WT Zone</t>
  </si>
  <si>
    <r>
      <t xml:space="preserve">Test Case 9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</si>
  <si>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10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</si>
  <si>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11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</si>
  <si>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12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</si>
  <si>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13    </t>
    </r>
    <r>
      <rPr>
        <sz val="11"/>
        <color rgb="FFFF0000"/>
        <rFont val="Calibri"/>
        <family val="2"/>
        <scheme val="minor"/>
      </rPr>
      <t xml:space="preserve"> Zone 4</t>
    </r>
  </si>
  <si>
    <r>
      <t xml:space="preserve">Test Case 14     </t>
    </r>
    <r>
      <rPr>
        <sz val="11"/>
        <color rgb="FFFF0000"/>
        <rFont val="Calibri"/>
        <family val="2"/>
        <scheme val="minor"/>
      </rPr>
      <t>Zone 4</t>
    </r>
  </si>
  <si>
    <t>Failure (Blue)</t>
  </si>
  <si>
    <t>12m</t>
  </si>
  <si>
    <t>Span %</t>
  </si>
  <si>
    <t>RPM in AERTS</t>
  </si>
  <si>
    <t>Velocity Matching</t>
  </si>
  <si>
    <t>20m</t>
  </si>
  <si>
    <t>28m</t>
  </si>
  <si>
    <t>36m</t>
  </si>
  <si>
    <t>Velocity (m/s)</t>
  </si>
  <si>
    <r>
      <t xml:space="preserve">Test Case 15 </t>
    </r>
    <r>
      <rPr>
        <sz val="11"/>
        <color rgb="FFFF0000"/>
        <rFont val="Calibri"/>
        <family val="2"/>
        <scheme val="minor"/>
      </rPr>
      <t>Zone 3</t>
    </r>
  </si>
  <si>
    <t>Thickness (mm)</t>
  </si>
  <si>
    <t>LWC            (g/m^3)</t>
  </si>
  <si>
    <t>Ice Area (0.231") (m^2)</t>
  </si>
  <si>
    <r>
      <t xml:space="preserve">Test Case 16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</si>
  <si>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17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</si>
  <si>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18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</si>
  <si>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19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</si>
  <si>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20        </t>
    </r>
    <r>
      <rPr>
        <sz val="11"/>
        <color rgb="FFFF0000"/>
        <rFont val="Calibri"/>
        <family val="2"/>
        <scheme val="minor"/>
      </rPr>
      <t>Zone 3</t>
    </r>
    <r>
      <rPr>
        <sz val="11"/>
        <color theme="1"/>
        <rFont val="Calibri"/>
        <family val="2"/>
        <scheme val="minor"/>
      </rPr>
      <t/>
    </r>
  </si>
  <si>
    <r>
      <t xml:space="preserve">Test Case 21        </t>
    </r>
    <r>
      <rPr>
        <sz val="11"/>
        <color rgb="FFFF0000"/>
        <rFont val="Calibri"/>
        <family val="2"/>
        <scheme val="minor"/>
      </rPr>
      <t>Zone 3</t>
    </r>
    <r>
      <rPr>
        <sz val="11"/>
        <color theme="1"/>
        <rFont val="Calibri"/>
        <family val="2"/>
        <scheme val="minor"/>
      </rPr>
      <t/>
    </r>
  </si>
  <si>
    <r>
      <t xml:space="preserve">Test Case 22        </t>
    </r>
    <r>
      <rPr>
        <sz val="11"/>
        <color rgb="FFFF0000"/>
        <rFont val="Calibri"/>
        <family val="2"/>
        <scheme val="minor"/>
      </rPr>
      <t>Zone 3</t>
    </r>
    <r>
      <rPr>
        <sz val="11"/>
        <color theme="1"/>
        <rFont val="Calibri"/>
        <family val="2"/>
        <scheme val="minor"/>
      </rPr>
      <t/>
    </r>
  </si>
  <si>
    <r>
      <t xml:space="preserve">Test Case 23        </t>
    </r>
    <r>
      <rPr>
        <sz val="11"/>
        <color rgb="FFFF0000"/>
        <rFont val="Calibri"/>
        <family val="2"/>
        <scheme val="minor"/>
      </rPr>
      <t>Zone 3</t>
    </r>
    <r>
      <rPr>
        <sz val="11"/>
        <color theme="1"/>
        <rFont val="Calibri"/>
        <family val="2"/>
        <scheme val="minor"/>
      </rPr>
      <t/>
    </r>
  </si>
  <si>
    <t>Power Variation (to see how shedding times vary)</t>
  </si>
  <si>
    <t>Power Variation</t>
  </si>
  <si>
    <t>Zone CF Test Cases (to find min thickness to shed for each zone)</t>
  </si>
  <si>
    <t>48                       Partial Failure (White)</t>
  </si>
  <si>
    <t>Partial Failure</t>
  </si>
  <si>
    <t>57                         Partial Failure (Blue)</t>
  </si>
  <si>
    <t>84                          Partial Failure (Blue)</t>
  </si>
  <si>
    <r>
      <t xml:space="preserve">Test Case 24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</si>
  <si>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25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</si>
  <si>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26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</si>
  <si>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27       </t>
    </r>
    <r>
      <rPr>
        <sz val="11"/>
        <color rgb="FFFF0000"/>
        <rFont val="Calibri"/>
        <family val="2"/>
        <scheme val="minor"/>
      </rPr>
      <t xml:space="preserve"> Zone 3</t>
    </r>
  </si>
  <si>
    <r>
      <t xml:space="preserve">Test Case 28        </t>
    </r>
    <r>
      <rPr>
        <sz val="11"/>
        <color rgb="FFFF0000"/>
        <rFont val="Calibri"/>
        <family val="2"/>
        <scheme val="minor"/>
      </rPr>
      <t>Zone 3</t>
    </r>
  </si>
  <si>
    <r>
      <t xml:space="preserve">Failure                        </t>
    </r>
    <r>
      <rPr>
        <sz val="11"/>
        <color rgb="FFFF0000"/>
        <rFont val="Calibri"/>
        <family val="2"/>
        <scheme val="minor"/>
      </rPr>
      <t>&gt;180</t>
    </r>
  </si>
  <si>
    <r>
      <t xml:space="preserve">Failure                            </t>
    </r>
    <r>
      <rPr>
        <sz val="11"/>
        <color rgb="FFFF0000"/>
        <rFont val="Calibri"/>
        <family val="2"/>
        <scheme val="minor"/>
      </rPr>
      <t>&gt;180</t>
    </r>
  </si>
  <si>
    <r>
      <t xml:space="preserve">Possible Clogged Nozzle   </t>
    </r>
    <r>
      <rPr>
        <sz val="11"/>
        <color rgb="FFFF0000"/>
        <rFont val="Calibri"/>
        <family val="2"/>
        <scheme val="minor"/>
      </rPr>
      <t>Accretion seems to be ~2 nozzles</t>
    </r>
  </si>
  <si>
    <t>Voltage</t>
  </si>
  <si>
    <t>Ice Thickness (mm)</t>
  </si>
  <si>
    <t>INPUT</t>
  </si>
  <si>
    <t>Zone</t>
  </si>
  <si>
    <t>Inner Zone Boundary          Span %</t>
  </si>
  <si>
    <t xml:space="preserve">Min Thickness need to Shed (mm) </t>
  </si>
  <si>
    <t>Variac Voltage</t>
  </si>
  <si>
    <r>
      <t xml:space="preserve">Test Case 29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</si>
  <si>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30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</si>
  <si>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31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</si>
  <si>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32         </t>
    </r>
    <r>
      <rPr>
        <sz val="11"/>
        <color rgb="FFFF0000"/>
        <rFont val="Calibri"/>
        <family val="2"/>
        <scheme val="minor"/>
      </rPr>
      <t xml:space="preserve"> Zone 3</t>
    </r>
  </si>
  <si>
    <r>
      <t xml:space="preserve">Test Case 33        </t>
    </r>
    <r>
      <rPr>
        <sz val="11"/>
        <color rgb="FFFF0000"/>
        <rFont val="Calibri"/>
        <family val="2"/>
        <scheme val="minor"/>
      </rPr>
      <t xml:space="preserve"> Zone 4</t>
    </r>
  </si>
  <si>
    <t>Accretion Thickness</t>
  </si>
  <si>
    <r>
      <t xml:space="preserve">Test Case 34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</si>
  <si>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35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</si>
  <si>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36            </t>
    </r>
    <r>
      <rPr>
        <sz val="11"/>
        <color rgb="FFFF0000"/>
        <rFont val="Calibri"/>
        <family val="2"/>
        <scheme val="minor"/>
      </rPr>
      <t xml:space="preserve">   Zone 4</t>
    </r>
  </si>
  <si>
    <r>
      <t xml:space="preserve">Test Case 37 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</si>
  <si>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38             </t>
    </r>
    <r>
      <rPr>
        <sz val="11"/>
        <color rgb="FFFF0000"/>
        <rFont val="Calibri"/>
        <family val="2"/>
        <scheme val="minor"/>
      </rPr>
      <t>Zone 2</t>
    </r>
  </si>
  <si>
    <t>Linear Ice Accretion (for 3 &amp; 7 mins; 5 mins is already completed)</t>
  </si>
  <si>
    <r>
      <t xml:space="preserve">Test Case 39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</si>
  <si>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40          </t>
    </r>
    <r>
      <rPr>
        <sz val="11"/>
        <color rgb="FFFF0000"/>
        <rFont val="Calibri"/>
        <family val="2"/>
        <scheme val="minor"/>
      </rPr>
      <t xml:space="preserve"> Zone 4</t>
    </r>
  </si>
  <si>
    <r>
      <t xml:space="preserve">Test Case 41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</si>
  <si>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42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</si>
  <si>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43             </t>
    </r>
    <r>
      <rPr>
        <sz val="11"/>
        <color rgb="FFFF0000"/>
        <rFont val="Calibri"/>
        <family val="2"/>
        <scheme val="minor"/>
      </rPr>
      <t xml:space="preserve"> Zone 2</t>
    </r>
  </si>
  <si>
    <r>
      <t xml:space="preserve">Test Case 44           </t>
    </r>
    <r>
      <rPr>
        <sz val="11"/>
        <color rgb="FFFF0000"/>
        <rFont val="Calibri"/>
        <family val="2"/>
        <scheme val="minor"/>
      </rPr>
      <t xml:space="preserve">  Zone 2</t>
    </r>
  </si>
  <si>
    <r>
      <t xml:space="preserve">Test Case 45    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</si>
  <si>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46  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</si>
  <si>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47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</si>
  <si>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48 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</si>
  <si>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49 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</si>
  <si>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50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</si>
  <si>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51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</si>
  <si>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52            </t>
    </r>
    <r>
      <rPr>
        <sz val="11"/>
        <color rgb="FFFF0000"/>
        <rFont val="Calibri"/>
        <family val="2"/>
        <scheme val="minor"/>
      </rPr>
      <t>Zone 2</t>
    </r>
  </si>
  <si>
    <t>Linear Ice Accretion (for 3, 5 &amp; 7 mins)</t>
  </si>
  <si>
    <r>
      <t xml:space="preserve">Test Case 53 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</si>
  <si>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58               </t>
    </r>
    <r>
      <rPr>
        <sz val="11"/>
        <color rgb="FFFF0000"/>
        <rFont val="Calibri"/>
        <family val="2"/>
        <scheme val="minor"/>
      </rPr>
      <t xml:space="preserve">  Zone 2</t>
    </r>
  </si>
  <si>
    <r>
      <t xml:space="preserve">Test Case 54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</si>
  <si>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55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</si>
  <si>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56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</si>
  <si>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57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</si>
  <si>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59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</si>
  <si>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60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</si>
  <si>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61            </t>
    </r>
    <r>
      <rPr>
        <sz val="11"/>
        <color rgb="FFFF0000"/>
        <rFont val="Calibri"/>
        <family val="2"/>
        <scheme val="minor"/>
      </rPr>
      <t xml:space="preserve"> Zone 2</t>
    </r>
  </si>
  <si>
    <t xml:space="preserve">Power Variation </t>
  </si>
  <si>
    <r>
      <t xml:space="preserve">Test Case 62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</si>
  <si>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63         </t>
    </r>
    <r>
      <rPr>
        <sz val="11"/>
        <color rgb="FFFF0000"/>
        <rFont val="Calibri"/>
        <family val="2"/>
        <scheme val="minor"/>
      </rPr>
      <t xml:space="preserve"> Zone 4</t>
    </r>
  </si>
  <si>
    <r>
      <t xml:space="preserve">Test Case 64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</si>
  <si>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65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</si>
  <si>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66             </t>
    </r>
    <r>
      <rPr>
        <sz val="11"/>
        <color rgb="FFFF0000"/>
        <rFont val="Calibri"/>
        <family val="2"/>
        <scheme val="minor"/>
      </rPr>
      <t xml:space="preserve"> Zone 3</t>
    </r>
  </si>
  <si>
    <r>
      <t xml:space="preserve">Test Case 67           </t>
    </r>
    <r>
      <rPr>
        <sz val="11"/>
        <color rgb="FFFF0000"/>
        <rFont val="Calibri"/>
        <family val="2"/>
        <scheme val="minor"/>
      </rPr>
      <t xml:space="preserve">  Zone 3</t>
    </r>
  </si>
  <si>
    <r>
      <t xml:space="preserve">Test Case 68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</si>
  <si>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69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</si>
  <si>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70             </t>
    </r>
    <r>
      <rPr>
        <sz val="11"/>
        <color rgb="FFFF0000"/>
        <rFont val="Calibri"/>
        <family val="2"/>
        <scheme val="minor"/>
      </rPr>
      <t xml:space="preserve"> Zone 2</t>
    </r>
  </si>
  <si>
    <r>
      <t xml:space="preserve">Test Case 71           </t>
    </r>
    <r>
      <rPr>
        <sz val="11"/>
        <color rgb="FFFF0000"/>
        <rFont val="Calibri"/>
        <family val="2"/>
        <scheme val="minor"/>
      </rPr>
      <t xml:space="preserve">  Zone 2</t>
    </r>
  </si>
  <si>
    <r>
      <t xml:space="preserve">Test Case 72    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</si>
  <si>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73               </t>
    </r>
    <r>
      <rPr>
        <sz val="11"/>
        <color rgb="FFFF0000"/>
        <rFont val="Calibri"/>
        <family val="2"/>
        <scheme val="minor"/>
      </rPr>
      <t>Zone 2</t>
    </r>
  </si>
  <si>
    <t>May - June 2019 Testing (Icing Conditions - LIGHT)</t>
  </si>
  <si>
    <t>April 2019 Testing (Icing Conditions - MEDIUM)</t>
  </si>
  <si>
    <t>February 2019 Testing (Icing Conditions - MEDIUM)</t>
  </si>
  <si>
    <r>
      <t xml:space="preserve">Test Case 74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</si>
  <si>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75 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</si>
  <si>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76 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</si>
  <si>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77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</si>
  <si>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78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</si>
  <si>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79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</si>
  <si>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80  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</si>
  <si>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81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</si>
  <si>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82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</si>
  <si>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83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</si>
  <si>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84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</si>
  <si>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85               </t>
    </r>
    <r>
      <rPr>
        <sz val="11"/>
        <color rgb="FFFF0000"/>
        <rFont val="Calibri"/>
        <family val="2"/>
        <scheme val="minor"/>
      </rPr>
      <t xml:space="preserve">  Zone 2</t>
    </r>
  </si>
  <si>
    <r>
      <t xml:space="preserve">Test Case 86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</si>
  <si>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87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</si>
  <si>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88            </t>
    </r>
    <r>
      <rPr>
        <sz val="11"/>
        <color rgb="FFFF0000"/>
        <rFont val="Calibri"/>
        <family val="2"/>
        <scheme val="minor"/>
      </rPr>
      <t xml:space="preserve"> Zone 2</t>
    </r>
  </si>
  <si>
    <r>
      <t xml:space="preserve">Test Case 89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</si>
  <si>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90         </t>
    </r>
    <r>
      <rPr>
        <sz val="11"/>
        <color rgb="FFFF0000"/>
        <rFont val="Calibri"/>
        <family val="2"/>
        <scheme val="minor"/>
      </rPr>
      <t xml:space="preserve"> Zone 4</t>
    </r>
  </si>
  <si>
    <r>
      <t xml:space="preserve">Test Case 91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</si>
  <si>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92               </t>
    </r>
    <r>
      <rPr>
        <sz val="11"/>
        <color rgb="FFFF0000"/>
        <rFont val="Calibri"/>
        <family val="2"/>
        <scheme val="minor"/>
      </rPr>
      <t>Zone 4</t>
    </r>
  </si>
  <si>
    <r>
      <t xml:space="preserve">Test Case 93             </t>
    </r>
    <r>
      <rPr>
        <sz val="11"/>
        <color rgb="FFFF0000"/>
        <rFont val="Calibri"/>
        <family val="2"/>
        <scheme val="minor"/>
      </rPr>
      <t xml:space="preserve"> Zone 3</t>
    </r>
  </si>
  <si>
    <r>
      <t xml:space="preserve">Test Case 94           </t>
    </r>
    <r>
      <rPr>
        <sz val="11"/>
        <color rgb="FFFF0000"/>
        <rFont val="Calibri"/>
        <family val="2"/>
        <scheme val="minor"/>
      </rPr>
      <t xml:space="preserve">  Zone 3</t>
    </r>
  </si>
  <si>
    <r>
      <t xml:space="preserve">Test Case 95  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</si>
  <si>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96               </t>
    </r>
    <r>
      <rPr>
        <sz val="11"/>
        <color rgb="FFFF0000"/>
        <rFont val="Calibri"/>
        <family val="2"/>
        <scheme val="minor"/>
      </rPr>
      <t>Zone 3</t>
    </r>
  </si>
  <si>
    <r>
      <t xml:space="preserve">Test Case 97             </t>
    </r>
    <r>
      <rPr>
        <sz val="11"/>
        <color rgb="FFFF0000"/>
        <rFont val="Calibri"/>
        <family val="2"/>
        <scheme val="minor"/>
      </rPr>
      <t xml:space="preserve"> Zone 2</t>
    </r>
  </si>
  <si>
    <r>
      <t xml:space="preserve">Test Case 98           </t>
    </r>
    <r>
      <rPr>
        <sz val="11"/>
        <color rgb="FFFF0000"/>
        <rFont val="Calibri"/>
        <family val="2"/>
        <scheme val="minor"/>
      </rPr>
      <t xml:space="preserve">  Zone 2</t>
    </r>
  </si>
  <si>
    <r>
      <t xml:space="preserve">Test Case 99                 </t>
    </r>
    <r>
      <rPr>
        <sz val="11"/>
        <color rgb="FFFF0000"/>
        <rFont val="Calibri"/>
        <family val="2"/>
        <scheme val="minor"/>
      </rPr>
      <t>Zone 2</t>
    </r>
  </si>
  <si>
    <r>
      <t xml:space="preserve">Test Case 100               </t>
    </r>
    <r>
      <rPr>
        <sz val="11"/>
        <color rgb="FFFF0000"/>
        <rFont val="Calibri"/>
        <family val="2"/>
        <scheme val="minor"/>
      </rPr>
      <t>Zone 2</t>
    </r>
  </si>
  <si>
    <t>June 2019 Testing (Icing Conditions - SEVERE)</t>
  </si>
  <si>
    <t>Temp (-°C)</t>
  </si>
  <si>
    <t>3 mins</t>
  </si>
  <si>
    <t>5 mins</t>
  </si>
  <si>
    <t>7 mins</t>
  </si>
  <si>
    <t>MEDIUM</t>
  </si>
  <si>
    <t>LIGHT</t>
  </si>
  <si>
    <t>SEVERE</t>
  </si>
  <si>
    <t>&gt;180</t>
  </si>
  <si>
    <t>&gt;60</t>
  </si>
  <si>
    <t>WT ZONE</t>
  </si>
  <si>
    <t>Medium</t>
  </si>
  <si>
    <t>Properties</t>
  </si>
  <si>
    <t>Light</t>
  </si>
  <si>
    <t>Severe</t>
  </si>
  <si>
    <t>Power Density</t>
  </si>
  <si>
    <t>Shed time - light</t>
  </si>
  <si>
    <t>Shed time - medium</t>
  </si>
  <si>
    <t>Thickness per min</t>
  </si>
  <si>
    <t>Time</t>
  </si>
  <si>
    <t>Zone Shed</t>
  </si>
  <si>
    <t>Ice Thickness Accumulation (mm)</t>
  </si>
  <si>
    <t>Z1 - Shed</t>
  </si>
  <si>
    <t>Z2 - Shed</t>
  </si>
  <si>
    <t>Z3 - Shed</t>
  </si>
  <si>
    <t>Z4 - Shed</t>
  </si>
  <si>
    <t>Controller Sequence</t>
  </si>
  <si>
    <t>Severe Icing Condition</t>
  </si>
  <si>
    <t>Accretion Rate (mm/min)</t>
  </si>
  <si>
    <t>Min Thickness Needed (mm)</t>
  </si>
  <si>
    <t>Time Duration Needed (mins)</t>
  </si>
  <si>
    <t>Time Duration Needed (secs)</t>
  </si>
  <si>
    <t>Medium Icing Condition</t>
  </si>
  <si>
    <t>Light Icing Condition</t>
  </si>
  <si>
    <t>Photo ID</t>
  </si>
  <si>
    <t>Area (cm^2)</t>
  </si>
  <si>
    <t>Mass (kg)</t>
  </si>
  <si>
    <t>Test Case #</t>
  </si>
  <si>
    <t>DSC_6605</t>
  </si>
  <si>
    <t>DSC_6599</t>
  </si>
  <si>
    <t>DSC_6608</t>
  </si>
  <si>
    <t>DSC_6581</t>
  </si>
  <si>
    <t>DSC_6602</t>
  </si>
  <si>
    <t>DSC_6611</t>
  </si>
  <si>
    <t>DSC_6627</t>
  </si>
  <si>
    <t>DSC_6587</t>
  </si>
  <si>
    <t>DSC_6578</t>
  </si>
  <si>
    <t>Ice Accretion Area/Mass</t>
  </si>
  <si>
    <t>Min Thickness (mm)</t>
  </si>
  <si>
    <t>Digitzer Online</t>
  </si>
  <si>
    <t>GetData Graph Digitizer</t>
  </si>
  <si>
    <t>Online Digitizer</t>
  </si>
  <si>
    <t>CF Force (N)</t>
  </si>
  <si>
    <t>Average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</si>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</sst>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0000"/>
    <numFmt numFmtId="166" formatCode="0.000"/>
    <numFmt numFmtId="167" formatCode="0.0"/>
    <numFmt numFmtId="168" formatCode="0.0%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39">
    <xf numFmtId="0" fontId="0" fillId="0" borderId="0" xfId="0"/>
    <xf numFmtId="164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2" fontId="0" fillId="6" borderId="29" xfId="0" applyNumberFormat="1" applyFill="1" applyBorder="1" applyAlignment="1">
      <alignment horizontal="center"/>
    </xf>
    <xf numFmtId="2" fontId="0" fillId="6" borderId="2" xfId="0" applyNumberFormat="1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0" fontId="0" fillId="0" borderId="0" xfId="0" applyAlignment="1">
      <alignment vertical="center"/>
    </xf>
    <xf numFmtId="0" fontId="0" fillId="8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37" xfId="0" applyFont="1" applyFill="1" applyBorder="1" applyAlignment="1">
      <alignment vertical="center"/>
    </xf>
    <xf numFmtId="0" fontId="0" fillId="6" borderId="19" xfId="0" applyFill="1" applyBorder="1" applyAlignment="1">
      <alignment horizontal="center" vertical="center"/>
    </xf>
    <xf numFmtId="2" fontId="0" fillId="6" borderId="19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10" borderId="18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 wrapText="1"/>
    </xf>
    <xf numFmtId="0" fontId="0" fillId="7" borderId="47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10" borderId="48" xfId="0" applyFill="1" applyBorder="1" applyAlignment="1">
      <alignment horizontal="center" vertical="center"/>
    </xf>
    <xf numFmtId="166" fontId="0" fillId="10" borderId="19" xfId="0" applyNumberFormat="1" applyFill="1" applyBorder="1" applyAlignment="1">
      <alignment horizontal="center"/>
    </xf>
    <xf numFmtId="166" fontId="0" fillId="10" borderId="11" xfId="0" applyNumberFormat="1" applyFill="1" applyBorder="1" applyAlignment="1">
      <alignment horizontal="center"/>
    </xf>
    <xf numFmtId="166" fontId="0" fillId="10" borderId="2" xfId="0" applyNumberFormat="1" applyFill="1" applyBorder="1" applyAlignment="1">
      <alignment horizontal="center"/>
    </xf>
    <xf numFmtId="166" fontId="0" fillId="10" borderId="4" xfId="0" applyNumberFormat="1" applyFill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37" xfId="0" applyBorder="1"/>
    <xf numFmtId="0" fontId="0" fillId="0" borderId="0" xfId="0" applyBorder="1"/>
    <xf numFmtId="0" fontId="0" fillId="0" borderId="50" xfId="0" applyBorder="1"/>
    <xf numFmtId="0" fontId="0" fillId="0" borderId="50" xfId="0" applyBorder="1" applyAlignment="1"/>
    <xf numFmtId="0" fontId="0" fillId="0" borderId="43" xfId="0" applyBorder="1"/>
    <xf numFmtId="0" fontId="0" fillId="0" borderId="39" xfId="0" applyBorder="1"/>
    <xf numFmtId="0" fontId="0" fillId="0" borderId="44" xfId="0" applyBorder="1"/>
    <xf numFmtId="0" fontId="0" fillId="0" borderId="5" xfId="0" applyBorder="1" applyAlignment="1">
      <alignment horizontal="center"/>
    </xf>
    <xf numFmtId="166" fontId="0" fillId="10" borderId="19" xfId="0" applyNumberFormat="1" applyFill="1" applyBorder="1" applyAlignment="1">
      <alignment horizontal="center" vertical="center"/>
    </xf>
    <xf numFmtId="166" fontId="0" fillId="10" borderId="11" xfId="0" applyNumberFormat="1" applyFill="1" applyBorder="1" applyAlignment="1">
      <alignment horizontal="center" vertical="center"/>
    </xf>
    <xf numFmtId="166" fontId="0" fillId="10" borderId="2" xfId="0" applyNumberFormat="1" applyFill="1" applyBorder="1" applyAlignment="1">
      <alignment horizontal="center" vertical="center"/>
    </xf>
    <xf numFmtId="166" fontId="0" fillId="10" borderId="4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8" fontId="0" fillId="0" borderId="2" xfId="0" applyNumberFormat="1" applyBorder="1" applyAlignment="1">
      <alignment horizontal="center"/>
    </xf>
    <xf numFmtId="168" fontId="0" fillId="0" borderId="4" xfId="0" applyNumberFormat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2" fontId="0" fillId="0" borderId="30" xfId="1" applyNumberFormat="1" applyFont="1" applyBorder="1" applyAlignment="1">
      <alignment horizontal="center"/>
    </xf>
    <xf numFmtId="2" fontId="0" fillId="0" borderId="51" xfId="1" applyNumberFormat="1" applyFont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36" xfId="0" applyFill="1" applyBorder="1" applyAlignment="1">
      <alignment horizontal="center" vertical="center"/>
    </xf>
    <xf numFmtId="0" fontId="0" fillId="6" borderId="49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 wrapText="1"/>
    </xf>
    <xf numFmtId="0" fontId="0" fillId="0" borderId="21" xfId="0" applyBorder="1"/>
    <xf numFmtId="0" fontId="0" fillId="0" borderId="3" xfId="0" applyBorder="1"/>
    <xf numFmtId="0" fontId="0" fillId="0" borderId="22" xfId="0" applyBorder="1"/>
    <xf numFmtId="0" fontId="0" fillId="0" borderId="5" xfId="0" applyBorder="1"/>
    <xf numFmtId="0" fontId="0" fillId="3" borderId="52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2" fontId="0" fillId="11" borderId="11" xfId="0" applyNumberFormat="1" applyFill="1" applyBorder="1" applyAlignment="1">
      <alignment horizontal="center" vertical="center"/>
    </xf>
    <xf numFmtId="0" fontId="0" fillId="11" borderId="49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166" fontId="0" fillId="11" borderId="11" xfId="0" applyNumberFormat="1" applyFill="1" applyBorder="1" applyAlignment="1">
      <alignment horizontal="center" vertical="center"/>
    </xf>
    <xf numFmtId="166" fontId="0" fillId="11" borderId="2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10" borderId="54" xfId="0" applyFill="1" applyBorder="1" applyAlignment="1">
      <alignment horizontal="center" vertical="center"/>
    </xf>
    <xf numFmtId="166" fontId="0" fillId="10" borderId="54" xfId="0" applyNumberFormat="1" applyFill="1" applyBorder="1" applyAlignment="1">
      <alignment horizontal="center" vertical="center"/>
    </xf>
    <xf numFmtId="0" fontId="0" fillId="10" borderId="55" xfId="0" applyFill="1" applyBorder="1" applyAlignment="1">
      <alignment horizontal="center" vertical="center"/>
    </xf>
    <xf numFmtId="0" fontId="0" fillId="7" borderId="56" xfId="0" applyFill="1" applyBorder="1" applyAlignment="1">
      <alignment horizontal="center" vertical="center" wrapText="1"/>
    </xf>
    <xf numFmtId="0" fontId="0" fillId="10" borderId="55" xfId="0" applyFill="1" applyBorder="1" applyAlignment="1">
      <alignment horizontal="center" vertical="center" wrapText="1"/>
    </xf>
    <xf numFmtId="167" fontId="0" fillId="10" borderId="2" xfId="0" applyNumberFormat="1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0" fillId="11" borderId="52" xfId="0" applyFill="1" applyBorder="1" applyAlignment="1">
      <alignment horizontal="center" vertical="center" wrapText="1"/>
    </xf>
    <xf numFmtId="0" fontId="0" fillId="11" borderId="56" xfId="0" applyFill="1" applyBorder="1" applyAlignment="1">
      <alignment horizontal="center" vertical="center"/>
    </xf>
    <xf numFmtId="0" fontId="0" fillId="11" borderId="57" xfId="0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2" fontId="0" fillId="11" borderId="58" xfId="0" applyNumberFormat="1" applyFill="1" applyBorder="1" applyAlignment="1">
      <alignment horizontal="center" vertical="center"/>
    </xf>
    <xf numFmtId="0" fontId="0" fillId="11" borderId="59" xfId="0" applyFill="1" applyBorder="1" applyAlignment="1">
      <alignment horizontal="center" vertical="center"/>
    </xf>
    <xf numFmtId="0" fontId="0" fillId="11" borderId="60" xfId="0" applyFill="1" applyBorder="1" applyAlignment="1">
      <alignment horizontal="center" vertical="center"/>
    </xf>
    <xf numFmtId="0" fontId="0" fillId="11" borderId="58" xfId="0" applyFill="1" applyBorder="1" applyAlignment="1">
      <alignment horizontal="center" vertical="center"/>
    </xf>
    <xf numFmtId="0" fontId="0" fillId="11" borderId="61" xfId="0" applyFill="1" applyBorder="1" applyAlignment="1">
      <alignment horizontal="center" vertical="center"/>
    </xf>
    <xf numFmtId="166" fontId="0" fillId="11" borderId="58" xfId="0" applyNumberFormat="1" applyFill="1" applyBorder="1" applyAlignment="1">
      <alignment horizontal="center" vertical="center"/>
    </xf>
    <xf numFmtId="167" fontId="0" fillId="10" borderId="54" xfId="0" applyNumberFormat="1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 wrapText="1"/>
    </xf>
    <xf numFmtId="0" fontId="0" fillId="7" borderId="56" xfId="0" applyFill="1" applyBorder="1" applyAlignment="1">
      <alignment horizontal="center" vertical="center"/>
    </xf>
    <xf numFmtId="0" fontId="0" fillId="6" borderId="57" xfId="0" applyFill="1" applyBorder="1" applyAlignment="1">
      <alignment horizontal="center" vertical="center"/>
    </xf>
    <xf numFmtId="0" fontId="0" fillId="6" borderId="53" xfId="0" applyFill="1" applyBorder="1" applyAlignment="1">
      <alignment horizontal="center" vertical="center"/>
    </xf>
    <xf numFmtId="2" fontId="0" fillId="6" borderId="53" xfId="0" applyNumberFormat="1" applyFill="1" applyBorder="1" applyAlignment="1">
      <alignment horizontal="center" vertical="center"/>
    </xf>
    <xf numFmtId="0" fontId="0" fillId="6" borderId="59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3" borderId="2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0" fillId="7" borderId="56" xfId="0" applyFill="1" applyBorder="1" applyAlignment="1">
      <alignment vertical="center" wrapText="1"/>
    </xf>
    <xf numFmtId="0" fontId="0" fillId="6" borderId="57" xfId="0" applyFill="1" applyBorder="1" applyAlignment="1">
      <alignment horizontal="center" vertical="center" wrapText="1"/>
    </xf>
    <xf numFmtId="0" fontId="0" fillId="6" borderId="58" xfId="0" applyFill="1" applyBorder="1" applyAlignment="1">
      <alignment horizontal="center" vertical="center" wrapText="1"/>
    </xf>
    <xf numFmtId="2" fontId="0" fillId="6" borderId="58" xfId="0" applyNumberFormat="1" applyFill="1" applyBorder="1" applyAlignment="1">
      <alignment horizontal="center" vertical="center" wrapText="1"/>
    </xf>
    <xf numFmtId="0" fontId="0" fillId="6" borderId="62" xfId="0" applyFill="1" applyBorder="1" applyAlignment="1">
      <alignment horizontal="center" vertical="center" wrapText="1"/>
    </xf>
    <xf numFmtId="0" fontId="0" fillId="0" borderId="60" xfId="0" applyFill="1" applyBorder="1" applyAlignment="1">
      <alignment horizontal="center" vertical="center" wrapText="1"/>
    </xf>
    <xf numFmtId="0" fontId="0" fillId="0" borderId="58" xfId="0" applyFill="1" applyBorder="1" applyAlignment="1">
      <alignment horizontal="center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10" borderId="60" xfId="0" applyFill="1" applyBorder="1" applyAlignment="1">
      <alignment horizontal="center" vertical="center" wrapText="1"/>
    </xf>
    <xf numFmtId="0" fontId="0" fillId="10" borderId="58" xfId="0" applyFill="1" applyBorder="1" applyAlignment="1">
      <alignment horizontal="center" vertical="center" wrapText="1"/>
    </xf>
    <xf numFmtId="166" fontId="0" fillId="10" borderId="58" xfId="0" applyNumberFormat="1" applyFill="1" applyBorder="1" applyAlignment="1">
      <alignment horizontal="center" vertical="center"/>
    </xf>
    <xf numFmtId="0" fontId="0" fillId="12" borderId="6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6" borderId="63" xfId="0" applyFill="1" applyBorder="1" applyAlignment="1">
      <alignment horizontal="center" vertical="center"/>
    </xf>
    <xf numFmtId="2" fontId="0" fillId="6" borderId="63" xfId="0" applyNumberFormat="1" applyFill="1" applyBorder="1" applyAlignment="1">
      <alignment horizontal="center" vertical="center"/>
    </xf>
    <xf numFmtId="0" fontId="0" fillId="6" borderId="6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2" xfId="0" applyBorder="1"/>
    <xf numFmtId="0" fontId="0" fillId="8" borderId="20" xfId="0" applyFill="1" applyBorder="1" applyAlignment="1">
      <alignment horizontal="center"/>
    </xf>
    <xf numFmtId="0" fontId="0" fillId="11" borderId="35" xfId="0" applyFill="1" applyBorder="1" applyAlignment="1">
      <alignment horizontal="center" vertical="center" wrapText="1"/>
    </xf>
    <xf numFmtId="0" fontId="0" fillId="11" borderId="26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2" fontId="0" fillId="11" borderId="19" xfId="0" applyNumberFormat="1" applyFill="1" applyBorder="1" applyAlignment="1">
      <alignment horizontal="center" vertical="center"/>
    </xf>
    <xf numFmtId="0" fontId="0" fillId="11" borderId="36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166" fontId="0" fillId="11" borderId="19" xfId="0" applyNumberFormat="1" applyFill="1" applyBorder="1" applyAlignment="1">
      <alignment horizontal="center" vertical="center"/>
    </xf>
    <xf numFmtId="0" fontId="0" fillId="11" borderId="55" xfId="0" applyFill="1" applyBorder="1" applyAlignment="1">
      <alignment horizontal="center" vertical="center"/>
    </xf>
    <xf numFmtId="0" fontId="0" fillId="0" borderId="4" xfId="0" applyBorder="1"/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13" borderId="25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/>
    <xf numFmtId="0" fontId="0" fillId="6" borderId="2" xfId="0" applyFill="1" applyBorder="1" applyAlignment="1">
      <alignment horizontal="center" vertical="center" wrapText="1"/>
    </xf>
    <xf numFmtId="0" fontId="0" fillId="0" borderId="30" xfId="0" applyBorder="1"/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0" borderId="19" xfId="0" applyBorder="1"/>
    <xf numFmtId="0" fontId="0" fillId="0" borderId="20" xfId="0" applyBorder="1"/>
    <xf numFmtId="0" fontId="0" fillId="10" borderId="22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36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58" xfId="0" applyBorder="1"/>
    <xf numFmtId="0" fontId="0" fillId="0" borderId="62" xfId="0" applyBorder="1"/>
    <xf numFmtId="0" fontId="0" fillId="0" borderId="60" xfId="0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10" borderId="60" xfId="0" applyFill="1" applyBorder="1" applyAlignment="1">
      <alignment horizontal="center" vertical="center"/>
    </xf>
    <xf numFmtId="0" fontId="0" fillId="10" borderId="58" xfId="0" applyFill="1" applyBorder="1" applyAlignment="1">
      <alignment horizontal="center" vertical="center"/>
    </xf>
    <xf numFmtId="0" fontId="0" fillId="0" borderId="61" xfId="0" applyBorder="1"/>
    <xf numFmtId="0" fontId="0" fillId="0" borderId="36" xfId="0" applyBorder="1"/>
    <xf numFmtId="0" fontId="0" fillId="0" borderId="51" xfId="0" applyBorder="1"/>
    <xf numFmtId="0" fontId="0" fillId="6" borderId="17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167" fontId="0" fillId="11" borderId="19" xfId="0" applyNumberFormat="1" applyFill="1" applyBorder="1" applyAlignment="1">
      <alignment horizontal="center" vertical="center"/>
    </xf>
    <xf numFmtId="167" fontId="0" fillId="6" borderId="11" xfId="0" applyNumberFormat="1" applyFill="1" applyBorder="1" applyAlignment="1">
      <alignment horizontal="center" vertical="center"/>
    </xf>
    <xf numFmtId="167" fontId="0" fillId="6" borderId="63" xfId="0" applyNumberFormat="1" applyFill="1" applyBorder="1" applyAlignment="1">
      <alignment horizontal="center" vertical="center"/>
    </xf>
    <xf numFmtId="167" fontId="0" fillId="6" borderId="19" xfId="0" applyNumberFormat="1" applyFill="1" applyBorder="1" applyAlignment="1">
      <alignment horizontal="center" vertical="center" wrapText="1"/>
    </xf>
    <xf numFmtId="167" fontId="0" fillId="6" borderId="2" xfId="0" applyNumberFormat="1" applyFill="1" applyBorder="1" applyAlignment="1">
      <alignment horizontal="center" vertical="center" wrapText="1"/>
    </xf>
    <xf numFmtId="167" fontId="0" fillId="6" borderId="58" xfId="0" applyNumberFormat="1" applyFill="1" applyBorder="1" applyAlignment="1">
      <alignment horizontal="center" vertical="center" wrapText="1"/>
    </xf>
    <xf numFmtId="167" fontId="0" fillId="6" borderId="4" xfId="0" applyNumberFormat="1" applyFill="1" applyBorder="1" applyAlignment="1">
      <alignment horizontal="center" vertical="center" wrapText="1"/>
    </xf>
    <xf numFmtId="0" fontId="0" fillId="7" borderId="31" xfId="0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0" fillId="7" borderId="34" xfId="0" applyFill="1" applyBorder="1" applyAlignment="1">
      <alignment horizontal="center" vertical="center" wrapText="1"/>
    </xf>
    <xf numFmtId="0" fontId="0" fillId="17" borderId="17" xfId="0" applyFill="1" applyBorder="1" applyAlignment="1">
      <alignment horizontal="center" vertical="center"/>
    </xf>
    <xf numFmtId="0" fontId="0" fillId="17" borderId="19" xfId="0" applyFill="1" applyBorder="1" applyAlignment="1">
      <alignment horizontal="center" vertical="center"/>
    </xf>
    <xf numFmtId="0" fontId="0" fillId="17" borderId="20" xfId="0" applyFill="1" applyBorder="1" applyAlignment="1">
      <alignment horizontal="center" vertical="center"/>
    </xf>
    <xf numFmtId="0" fontId="0" fillId="17" borderId="21" xfId="0" applyFill="1" applyBorder="1" applyAlignment="1">
      <alignment horizontal="center" vertical="center"/>
    </xf>
    <xf numFmtId="0" fontId="0" fillId="17" borderId="2" xfId="0" applyFill="1" applyBorder="1" applyAlignment="1">
      <alignment horizontal="center" vertical="center"/>
    </xf>
    <xf numFmtId="0" fontId="0" fillId="17" borderId="3" xfId="0" applyFill="1" applyBorder="1" applyAlignment="1">
      <alignment horizontal="center" vertical="center"/>
    </xf>
    <xf numFmtId="0" fontId="0" fillId="17" borderId="22" xfId="0" applyFill="1" applyBorder="1" applyAlignment="1">
      <alignment horizontal="center" vertical="center"/>
    </xf>
    <xf numFmtId="0" fontId="0" fillId="17" borderId="4" xfId="0" applyFill="1" applyBorder="1" applyAlignment="1">
      <alignment horizontal="center" vertical="center"/>
    </xf>
    <xf numFmtId="0" fontId="0" fillId="17" borderId="5" xfId="0" applyFill="1" applyBorder="1" applyAlignment="1">
      <alignment horizontal="center" vertical="center"/>
    </xf>
    <xf numFmtId="0" fontId="0" fillId="17" borderId="60" xfId="0" applyFill="1" applyBorder="1" applyAlignment="1">
      <alignment horizontal="center" vertical="center"/>
    </xf>
    <xf numFmtId="0" fontId="0" fillId="17" borderId="58" xfId="0" applyFill="1" applyBorder="1" applyAlignment="1">
      <alignment horizontal="center" vertical="center"/>
    </xf>
    <xf numFmtId="0" fontId="0" fillId="17" borderId="61" xfId="0" applyFill="1" applyBorder="1" applyAlignment="1">
      <alignment horizontal="center" vertical="center"/>
    </xf>
    <xf numFmtId="0" fontId="0" fillId="18" borderId="17" xfId="0" applyFill="1" applyBorder="1" applyAlignment="1">
      <alignment horizontal="center" vertical="center"/>
    </xf>
    <xf numFmtId="0" fontId="0" fillId="18" borderId="19" xfId="0" applyFill="1" applyBorder="1" applyAlignment="1">
      <alignment horizontal="center" vertical="center"/>
    </xf>
    <xf numFmtId="0" fontId="0" fillId="18" borderId="20" xfId="0" applyFill="1" applyBorder="1" applyAlignment="1">
      <alignment horizontal="center" vertical="center"/>
    </xf>
    <xf numFmtId="0" fontId="0" fillId="18" borderId="21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18" borderId="3" xfId="0" applyFill="1" applyBorder="1" applyAlignment="1">
      <alignment horizontal="center" vertical="center"/>
    </xf>
    <xf numFmtId="0" fontId="0" fillId="18" borderId="22" xfId="0" applyFill="1" applyBorder="1" applyAlignment="1">
      <alignment horizontal="center" vertical="center"/>
    </xf>
    <xf numFmtId="0" fontId="0" fillId="18" borderId="4" xfId="0" applyFill="1" applyBorder="1" applyAlignment="1">
      <alignment horizontal="center" vertical="center"/>
    </xf>
    <xf numFmtId="0" fontId="0" fillId="18" borderId="5" xfId="0" applyFill="1" applyBorder="1" applyAlignment="1">
      <alignment horizontal="center" vertical="center"/>
    </xf>
    <xf numFmtId="0" fontId="0" fillId="18" borderId="60" xfId="0" applyFill="1" applyBorder="1" applyAlignment="1">
      <alignment horizontal="center" vertical="center"/>
    </xf>
    <xf numFmtId="0" fontId="0" fillId="18" borderId="58" xfId="0" applyFill="1" applyBorder="1" applyAlignment="1">
      <alignment horizontal="center" vertical="center"/>
    </xf>
    <xf numFmtId="0" fontId="0" fillId="18" borderId="61" xfId="0" applyFill="1" applyBorder="1" applyAlignment="1">
      <alignment horizontal="center" vertical="center"/>
    </xf>
    <xf numFmtId="0" fontId="0" fillId="18" borderId="32" xfId="0" applyFill="1" applyBorder="1" applyAlignment="1">
      <alignment horizontal="center" vertical="center"/>
    </xf>
    <xf numFmtId="0" fontId="0" fillId="18" borderId="11" xfId="0" applyFill="1" applyBorder="1" applyAlignment="1">
      <alignment horizontal="center" vertical="center"/>
    </xf>
    <xf numFmtId="0" fontId="0" fillId="18" borderId="48" xfId="0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/>
    <xf numFmtId="0" fontId="0" fillId="0" borderId="20" xfId="0" applyFill="1" applyBorder="1"/>
    <xf numFmtId="0" fontId="0" fillId="0" borderId="3" xfId="0" applyFill="1" applyBorder="1"/>
    <xf numFmtId="0" fontId="0" fillId="0" borderId="5" xfId="0" applyFill="1" applyBorder="1"/>
    <xf numFmtId="0" fontId="0" fillId="11" borderId="67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11" borderId="13" xfId="0" applyFill="1" applyBorder="1" applyAlignment="1">
      <alignment horizontal="center"/>
    </xf>
    <xf numFmtId="0" fontId="0" fillId="11" borderId="68" xfId="0" applyFill="1" applyBorder="1" applyAlignment="1">
      <alignment horizontal="center"/>
    </xf>
    <xf numFmtId="0" fontId="0" fillId="11" borderId="69" xfId="0" applyFill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5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58" xfId="0" applyNumberFormat="1" applyBorder="1" applyAlignment="1">
      <alignment horizontal="center"/>
    </xf>
    <xf numFmtId="0" fontId="0" fillId="16" borderId="35" xfId="0" applyFill="1" applyBorder="1" applyAlignment="1">
      <alignment horizontal="center"/>
    </xf>
    <xf numFmtId="0" fontId="0" fillId="16" borderId="23" xfId="0" applyFill="1" applyBorder="1" applyAlignment="1">
      <alignment horizontal="center"/>
    </xf>
    <xf numFmtId="0" fontId="0" fillId="16" borderId="24" xfId="0" applyFill="1" applyBorder="1" applyAlignment="1">
      <alignment horizontal="center"/>
    </xf>
    <xf numFmtId="0" fontId="0" fillId="13" borderId="70" xfId="0" applyFill="1" applyBorder="1" applyAlignment="1">
      <alignment horizontal="center" vertical="center"/>
    </xf>
    <xf numFmtId="0" fontId="0" fillId="13" borderId="54" xfId="0" applyFill="1" applyBorder="1" applyAlignment="1">
      <alignment horizontal="center" vertical="center" wrapText="1"/>
    </xf>
    <xf numFmtId="0" fontId="0" fillId="13" borderId="55" xfId="0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9" fillId="20" borderId="1" xfId="0" applyFont="1" applyFill="1" applyBorder="1" applyAlignment="1">
      <alignment horizontal="center" vertical="center"/>
    </xf>
    <xf numFmtId="0" fontId="0" fillId="20" borderId="2" xfId="0" applyFill="1" applyBorder="1" applyAlignment="1">
      <alignment horizontal="center"/>
    </xf>
    <xf numFmtId="0" fontId="0" fillId="20" borderId="19" xfId="0" applyFill="1" applyBorder="1" applyAlignment="1">
      <alignment horizontal="center"/>
    </xf>
    <xf numFmtId="0" fontId="0" fillId="20" borderId="5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2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166" fontId="0" fillId="0" borderId="62" xfId="0" applyNumberFormat="1" applyBorder="1" applyAlignment="1">
      <alignment horizontal="center"/>
    </xf>
    <xf numFmtId="0" fontId="0" fillId="8" borderId="17" xfId="0" applyFill="1" applyBorder="1"/>
    <xf numFmtId="0" fontId="0" fillId="8" borderId="19" xfId="0" applyFill="1" applyBorder="1" applyAlignment="1">
      <alignment horizontal="center"/>
    </xf>
    <xf numFmtId="0" fontId="0" fillId="8" borderId="70" xfId="0" applyFill="1" applyBorder="1"/>
    <xf numFmtId="0" fontId="0" fillId="8" borderId="54" xfId="0" applyFill="1" applyBorder="1" applyAlignment="1">
      <alignment horizontal="center"/>
    </xf>
    <xf numFmtId="0" fontId="0" fillId="8" borderId="55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19" borderId="1" xfId="0" applyFill="1" applyBorder="1" applyAlignment="1">
      <alignment horizontal="center" wrapText="1"/>
    </xf>
    <xf numFmtId="166" fontId="0" fillId="19" borderId="26" xfId="0" applyNumberFormat="1" applyFill="1" applyBorder="1" applyAlignment="1">
      <alignment horizontal="center"/>
    </xf>
    <xf numFmtId="166" fontId="0" fillId="19" borderId="8" xfId="0" applyNumberFormat="1" applyFill="1" applyBorder="1" applyAlignment="1">
      <alignment horizontal="center"/>
    </xf>
    <xf numFmtId="166" fontId="0" fillId="19" borderId="9" xfId="0" applyNumberFormat="1" applyFill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11" borderId="71" xfId="0" applyFill="1" applyBorder="1" applyAlignment="1">
      <alignment horizontal="center"/>
    </xf>
    <xf numFmtId="0" fontId="0" fillId="21" borderId="63" xfId="0" applyFill="1" applyBorder="1" applyAlignment="1">
      <alignment horizontal="center"/>
    </xf>
    <xf numFmtId="0" fontId="0" fillId="22" borderId="63" xfId="0" applyFill="1" applyBorder="1" applyAlignment="1">
      <alignment horizontal="center"/>
    </xf>
    <xf numFmtId="0" fontId="0" fillId="23" borderId="72" xfId="0" applyFill="1" applyBorder="1" applyAlignment="1">
      <alignment horizontal="center"/>
    </xf>
    <xf numFmtId="0" fontId="0" fillId="24" borderId="21" xfId="0" applyFill="1" applyBorder="1" applyAlignment="1">
      <alignment horizontal="center"/>
    </xf>
    <xf numFmtId="0" fontId="0" fillId="24" borderId="2" xfId="0" applyFill="1" applyBorder="1" applyAlignment="1">
      <alignment horizontal="center"/>
    </xf>
    <xf numFmtId="0" fontId="0" fillId="24" borderId="3" xfId="0" applyFill="1" applyBorder="1" applyAlignment="1">
      <alignment horizontal="center"/>
    </xf>
    <xf numFmtId="0" fontId="0" fillId="24" borderId="5" xfId="0" applyFill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24" borderId="61" xfId="0" applyFill="1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4" borderId="27" xfId="0" applyFill="1" applyBorder="1"/>
    <xf numFmtId="0" fontId="0" fillId="11" borderId="46" xfId="0" applyFill="1" applyBorder="1"/>
    <xf numFmtId="0" fontId="0" fillId="21" borderId="23" xfId="0" applyFill="1" applyBorder="1"/>
    <xf numFmtId="0" fontId="0" fillId="22" borderId="23" xfId="0" applyFill="1" applyBorder="1"/>
    <xf numFmtId="0" fontId="0" fillId="23" borderId="24" xfId="0" applyFill="1" applyBorder="1"/>
    <xf numFmtId="167" fontId="0" fillId="0" borderId="75" xfId="0" applyNumberFormat="1" applyBorder="1" applyAlignment="1">
      <alignment horizontal="center"/>
    </xf>
    <xf numFmtId="167" fontId="0" fillId="0" borderId="33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6" fontId="0" fillId="0" borderId="26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50" xfId="0" applyBorder="1" applyAlignment="1">
      <alignment horizontal="center"/>
    </xf>
    <xf numFmtId="167" fontId="0" fillId="0" borderId="38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0" fillId="0" borderId="16" xfId="0" applyNumberFormat="1" applyBorder="1" applyAlignment="1">
      <alignment horizontal="center"/>
    </xf>
    <xf numFmtId="0" fontId="0" fillId="0" borderId="37" xfId="0" applyBorder="1" applyAlignment="1"/>
    <xf numFmtId="0" fontId="0" fillId="0" borderId="37" xfId="0" applyBorder="1" applyAlignment="1">
      <alignment horizontal="center"/>
    </xf>
    <xf numFmtId="0" fontId="7" fillId="5" borderId="40" xfId="0" applyFont="1" applyFill="1" applyBorder="1" applyAlignment="1">
      <alignment horizontal="center"/>
    </xf>
    <xf numFmtId="0" fontId="7" fillId="5" borderId="41" xfId="0" applyFont="1" applyFill="1" applyBorder="1" applyAlignment="1">
      <alignment horizontal="center"/>
    </xf>
    <xf numFmtId="0" fontId="7" fillId="5" borderId="42" xfId="0" applyFont="1" applyFill="1" applyBorder="1" applyAlignment="1">
      <alignment horizontal="center"/>
    </xf>
    <xf numFmtId="0" fontId="8" fillId="14" borderId="27" xfId="0" applyFont="1" applyFill="1" applyBorder="1" applyAlignment="1">
      <alignment horizontal="center" vertical="center" wrapText="1"/>
    </xf>
    <xf numFmtId="0" fontId="8" fillId="14" borderId="14" xfId="0" applyFont="1" applyFill="1" applyBorder="1" applyAlignment="1">
      <alignment horizontal="center" vertical="center" wrapText="1"/>
    </xf>
    <xf numFmtId="0" fontId="8" fillId="14" borderId="28" xfId="0" applyFont="1" applyFill="1" applyBorder="1" applyAlignment="1">
      <alignment horizontal="center" vertical="center" wrapText="1"/>
    </xf>
    <xf numFmtId="0" fontId="2" fillId="5" borderId="2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65" xfId="0" applyFill="1" applyBorder="1" applyAlignment="1">
      <alignment horizontal="center" vertical="center" wrapText="1"/>
    </xf>
    <xf numFmtId="0" fontId="0" fillId="2" borderId="66" xfId="0" applyFill="1" applyBorder="1" applyAlignment="1">
      <alignment horizontal="center" vertical="center" wrapText="1"/>
    </xf>
    <xf numFmtId="0" fontId="4" fillId="15" borderId="17" xfId="0" applyFont="1" applyFill="1" applyBorder="1" applyAlignment="1">
      <alignment horizontal="center"/>
    </xf>
    <xf numFmtId="0" fontId="4" fillId="15" borderId="20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166" fontId="0" fillId="0" borderId="2" xfId="0" applyNumberFormat="1" applyBorder="1" applyAlignment="1">
      <alignment horizontal="center"/>
    </xf>
    <xf numFmtId="0" fontId="0" fillId="4" borderId="2" xfId="0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36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4" fillId="5" borderId="41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0" fillId="8" borderId="27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5" fillId="5" borderId="27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5" borderId="28" xfId="0" applyFont="1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21" borderId="8" xfId="0" applyFill="1" applyBorder="1" applyAlignment="1">
      <alignment horizontal="center" vertical="center"/>
    </xf>
    <xf numFmtId="0" fontId="0" fillId="22" borderId="8" xfId="0" applyFill="1" applyBorder="1" applyAlignment="1">
      <alignment horizontal="center" vertical="center"/>
    </xf>
    <xf numFmtId="0" fontId="0" fillId="23" borderId="8" xfId="0" applyFill="1" applyBorder="1" applyAlignment="1">
      <alignment horizontal="center" vertical="center"/>
    </xf>
    <xf numFmtId="0" fontId="0" fillId="23" borderId="9" xfId="0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47" xfId="0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0" fontId="0" fillId="24" borderId="67" xfId="0" applyFill="1" applyBorder="1" applyAlignment="1">
      <alignment horizontal="center"/>
    </xf>
    <xf numFmtId="0" fontId="0" fillId="24" borderId="12" xfId="0" applyFill="1" applyBorder="1" applyAlignment="1">
      <alignment horizontal="center"/>
    </xf>
    <xf numFmtId="0" fontId="0" fillId="24" borderId="13" xfId="0" applyFill="1" applyBorder="1" applyAlignment="1">
      <alignment horizontal="center"/>
    </xf>
    <xf numFmtId="0" fontId="0" fillId="23" borderId="33" xfId="0" applyFill="1" applyBorder="1" applyAlignment="1">
      <alignment horizontal="center" vertical="center"/>
    </xf>
    <xf numFmtId="0" fontId="0" fillId="23" borderId="34" xfId="0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11" borderId="56" xfId="0" applyFill="1" applyBorder="1" applyAlignment="1">
      <alignment horizontal="center" vertical="center"/>
    </xf>
    <xf numFmtId="0" fontId="0" fillId="11" borderId="47" xfId="0" applyFill="1" applyBorder="1" applyAlignment="1">
      <alignment horizontal="center" vertical="center"/>
    </xf>
    <xf numFmtId="0" fontId="0" fillId="0" borderId="56" xfId="0" applyBorder="1" applyAlignment="1">
      <alignment horizontal="center"/>
    </xf>
    <xf numFmtId="0" fontId="0" fillId="11" borderId="8" xfId="0" applyFill="1" applyBorder="1" applyAlignment="1">
      <alignment horizontal="center" vertical="center"/>
    </xf>
    <xf numFmtId="0" fontId="0" fillId="11" borderId="74" xfId="0" applyFill="1" applyBorder="1" applyAlignment="1">
      <alignment horizontal="center" vertical="center"/>
    </xf>
    <xf numFmtId="0" fontId="0" fillId="11" borderId="75" xfId="0" applyFill="1" applyBorder="1" applyAlignment="1">
      <alignment horizontal="center" vertical="center"/>
    </xf>
    <xf numFmtId="0" fontId="0" fillId="21" borderId="33" xfId="0" applyFill="1" applyBorder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11" borderId="33" xfId="0" applyFill="1" applyBorder="1" applyAlignment="1">
      <alignment horizontal="center" vertical="center"/>
    </xf>
    <xf numFmtId="0" fontId="0" fillId="22" borderId="33" xfId="0" applyFill="1" applyBorder="1" applyAlignment="1">
      <alignment horizontal="center" vertical="center"/>
    </xf>
    <xf numFmtId="0" fontId="0" fillId="0" borderId="65" xfId="0" applyFill="1" applyBorder="1" applyAlignment="1">
      <alignment horizontal="center"/>
    </xf>
    <xf numFmtId="166" fontId="0" fillId="24" borderId="21" xfId="0" applyNumberFormat="1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0" fontId="0" fillId="4" borderId="74" xfId="0" applyFill="1" applyBorder="1" applyAlignment="1">
      <alignment horizontal="center"/>
    </xf>
    <xf numFmtId="0" fontId="0" fillId="11" borderId="76" xfId="0" applyFill="1" applyBorder="1" applyAlignment="1">
      <alignment horizontal="center"/>
    </xf>
    <xf numFmtId="0" fontId="0" fillId="21" borderId="53" xfId="0" applyFill="1" applyBorder="1" applyAlignment="1">
      <alignment horizontal="center"/>
    </xf>
    <xf numFmtId="0" fontId="0" fillId="22" borderId="53" xfId="0" applyFill="1" applyBorder="1" applyAlignment="1">
      <alignment horizontal="center"/>
    </xf>
    <xf numFmtId="0" fontId="0" fillId="23" borderId="77" xfId="0" applyFill="1" applyBorder="1" applyAlignment="1">
      <alignment horizontal="center"/>
    </xf>
    <xf numFmtId="166" fontId="0" fillId="24" borderId="2" xfId="0" applyNumberFormat="1" applyFill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24" borderId="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5" borderId="25" xfId="0" applyFont="1" applyFill="1" applyBorder="1"/>
    <xf numFmtId="0" fontId="0" fillId="3" borderId="17" xfId="0" applyFont="1" applyFill="1" applyBorder="1" applyAlignment="1">
      <alignment horizontal="center"/>
    </xf>
    <xf numFmtId="0" fontId="0" fillId="3" borderId="19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center"/>
    </xf>
    <xf numFmtId="0" fontId="0" fillId="26" borderId="17" xfId="0" applyFont="1" applyFill="1" applyBorder="1" applyAlignment="1">
      <alignment horizontal="center"/>
    </xf>
    <xf numFmtId="0" fontId="0" fillId="26" borderId="19" xfId="0" applyFont="1" applyFill="1" applyBorder="1" applyAlignment="1">
      <alignment horizontal="center"/>
    </xf>
    <xf numFmtId="0" fontId="0" fillId="26" borderId="20" xfId="0" applyFont="1" applyFill="1" applyBorder="1" applyAlignment="1">
      <alignment horizontal="center"/>
    </xf>
    <xf numFmtId="0" fontId="0" fillId="25" borderId="17" xfId="0" applyFont="1" applyFill="1" applyBorder="1" applyAlignment="1">
      <alignment horizontal="center"/>
    </xf>
    <xf numFmtId="0" fontId="0" fillId="25" borderId="19" xfId="0" applyFont="1" applyFill="1" applyBorder="1" applyAlignment="1">
      <alignment horizontal="center"/>
    </xf>
    <xf numFmtId="0" fontId="0" fillId="25" borderId="20" xfId="0" applyFont="1" applyFill="1" applyBorder="1" applyAlignment="1">
      <alignment horizontal="center"/>
    </xf>
    <xf numFmtId="0" fontId="0" fillId="5" borderId="65" xfId="0" applyFont="1" applyFill="1" applyBorder="1"/>
    <xf numFmtId="0" fontId="0" fillId="24" borderId="60" xfId="0" applyFont="1" applyFill="1" applyBorder="1" applyAlignment="1">
      <alignment horizontal="center"/>
    </xf>
    <xf numFmtId="0" fontId="0" fillId="24" borderId="58" xfId="0" applyFont="1" applyFill="1" applyBorder="1" applyAlignment="1">
      <alignment horizontal="center"/>
    </xf>
    <xf numFmtId="0" fontId="0" fillId="24" borderId="61" xfId="0" applyFont="1" applyFill="1" applyBorder="1" applyAlignment="1">
      <alignment horizontal="center"/>
    </xf>
    <xf numFmtId="0" fontId="0" fillId="24" borderId="35" xfId="0" applyFont="1" applyFill="1" applyBorder="1"/>
    <xf numFmtId="0" fontId="0" fillId="0" borderId="17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24" borderId="24" xfId="0" applyFont="1" applyFill="1" applyBorder="1"/>
    <xf numFmtId="0" fontId="0" fillId="0" borderId="2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51" xfId="0" applyFont="1" applyBorder="1" applyAlignment="1">
      <alignment horizontal="center"/>
    </xf>
    <xf numFmtId="0" fontId="0" fillId="24" borderId="37" xfId="0" applyFont="1" applyFill="1" applyBorder="1"/>
    <xf numFmtId="0" fontId="0" fillId="0" borderId="76" xfId="0" applyFont="1" applyBorder="1" applyAlignment="1">
      <alignment horizontal="center"/>
    </xf>
    <xf numFmtId="0" fontId="0" fillId="0" borderId="53" xfId="0" applyFont="1" applyBorder="1" applyAlignment="1">
      <alignment horizontal="center"/>
    </xf>
    <xf numFmtId="0" fontId="0" fillId="0" borderId="77" xfId="0" applyFont="1" applyBorder="1" applyAlignment="1">
      <alignment horizontal="center"/>
    </xf>
    <xf numFmtId="0" fontId="0" fillId="0" borderId="73" xfId="0" applyFont="1" applyBorder="1" applyAlignment="1">
      <alignment horizontal="center"/>
    </xf>
    <xf numFmtId="0" fontId="0" fillId="0" borderId="59" xfId="0" applyFont="1" applyBorder="1" applyAlignment="1">
      <alignment horizontal="center"/>
    </xf>
    <xf numFmtId="0" fontId="0" fillId="2" borderId="0" xfId="0" applyFill="1"/>
    <xf numFmtId="0" fontId="0" fillId="0" borderId="19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10" fillId="22" borderId="27" xfId="0" applyFont="1" applyFill="1" applyBorder="1" applyAlignment="1">
      <alignment horizontal="center"/>
    </xf>
    <xf numFmtId="0" fontId="10" fillId="22" borderId="14" xfId="0" applyFont="1" applyFill="1" applyBorder="1" applyAlignment="1">
      <alignment horizontal="center"/>
    </xf>
    <xf numFmtId="0" fontId="10" fillId="22" borderId="28" xfId="0" applyFont="1" applyFill="1" applyBorder="1" applyAlignment="1">
      <alignment horizontal="center"/>
    </xf>
    <xf numFmtId="0" fontId="0" fillId="24" borderId="40" xfId="0" applyFont="1" applyFill="1" applyBorder="1"/>
    <xf numFmtId="0" fontId="0" fillId="24" borderId="27" xfId="0" applyFont="1" applyFill="1" applyBorder="1"/>
    <xf numFmtId="0" fontId="0" fillId="0" borderId="2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67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0" xfId="0" applyFont="1" applyBorder="1" applyAlignment="1">
      <alignment horizontal="center"/>
    </xf>
    <xf numFmtId="166" fontId="0" fillId="0" borderId="58" xfId="0" applyNumberFormat="1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0" fillId="0" borderId="61" xfId="0" applyFont="1" applyFill="1" applyBorder="1" applyAlignment="1">
      <alignment horizontal="center"/>
    </xf>
    <xf numFmtId="0" fontId="0" fillId="0" borderId="58" xfId="0" applyFont="1" applyFill="1" applyBorder="1" applyAlignment="1">
      <alignment horizontal="center"/>
    </xf>
    <xf numFmtId="0" fontId="0" fillId="0" borderId="61" xfId="0" applyFont="1" applyBorder="1" applyAlignment="1">
      <alignment horizontal="center"/>
    </xf>
    <xf numFmtId="2" fontId="0" fillId="19" borderId="67" xfId="0" applyNumberFormat="1" applyFont="1" applyFill="1" applyBorder="1" applyAlignment="1">
      <alignment horizontal="center"/>
    </xf>
    <xf numFmtId="2" fontId="0" fillId="19" borderId="12" xfId="0" applyNumberFormat="1" applyFont="1" applyFill="1" applyBorder="1" applyAlignment="1">
      <alignment horizontal="center"/>
    </xf>
    <xf numFmtId="2" fontId="0" fillId="19" borderId="13" xfId="0" applyNumberFormat="1" applyFont="1" applyFill="1" applyBorder="1" applyAlignment="1">
      <alignment horizontal="center"/>
    </xf>
    <xf numFmtId="0" fontId="0" fillId="0" borderId="76" xfId="0" applyFont="1" applyFill="1" applyBorder="1" applyAlignment="1">
      <alignment horizontal="center"/>
    </xf>
    <xf numFmtId="0" fontId="0" fillId="0" borderId="53" xfId="0" applyFont="1" applyFill="1" applyBorder="1" applyAlignment="1">
      <alignment horizontal="center"/>
    </xf>
    <xf numFmtId="0" fontId="0" fillId="0" borderId="77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166" fontId="0" fillId="0" borderId="61" xfId="0" applyNumberFormat="1" applyFont="1" applyFill="1" applyBorder="1" applyAlignment="1">
      <alignment horizontal="center"/>
    </xf>
    <xf numFmtId="166" fontId="0" fillId="0" borderId="58" xfId="0" applyNumberFormat="1" applyFont="1" applyFill="1" applyBorder="1" applyAlignment="1">
      <alignment horizontal="center"/>
    </xf>
    <xf numFmtId="0" fontId="0" fillId="24" borderId="0" xfId="0" applyFont="1" applyFill="1" applyBorder="1"/>
    <xf numFmtId="2" fontId="0" fillId="19" borderId="53" xfId="0" applyNumberFormat="1" applyFont="1" applyFill="1" applyBorder="1" applyAlignment="1">
      <alignment horizontal="center"/>
    </xf>
    <xf numFmtId="2" fontId="0" fillId="19" borderId="77" xfId="0" applyNumberFormat="1" applyFont="1" applyFill="1" applyBorder="1" applyAlignment="1">
      <alignment horizontal="center"/>
    </xf>
    <xf numFmtId="1" fontId="0" fillId="19" borderId="76" xfId="0" applyNumberFormat="1" applyFont="1" applyFill="1" applyBorder="1" applyAlignment="1">
      <alignment horizontal="center"/>
    </xf>
    <xf numFmtId="0" fontId="0" fillId="13" borderId="78" xfId="0" applyFill="1" applyBorder="1" applyAlignment="1">
      <alignment horizontal="center" vertical="center" wrapText="1"/>
    </xf>
    <xf numFmtId="0" fontId="0" fillId="9" borderId="25" xfId="0" applyFill="1" applyBorder="1" applyAlignment="1">
      <alignment horizontal="center"/>
    </xf>
    <xf numFmtId="0" fontId="0" fillId="13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27" borderId="27" xfId="0" applyFill="1" applyBorder="1" applyAlignment="1">
      <alignment horizontal="center"/>
    </xf>
    <xf numFmtId="0" fontId="0" fillId="27" borderId="14" xfId="0" applyFill="1" applyBorder="1" applyAlignment="1">
      <alignment horizontal="center"/>
    </xf>
    <xf numFmtId="0" fontId="0" fillId="27" borderId="28" xfId="0" applyFill="1" applyBorder="1" applyAlignment="1">
      <alignment horizontal="center"/>
    </xf>
    <xf numFmtId="0" fontId="0" fillId="24" borderId="67" xfId="0" applyFont="1" applyFill="1" applyBorder="1" applyAlignment="1">
      <alignment horizontal="center"/>
    </xf>
    <xf numFmtId="0" fontId="0" fillId="24" borderId="12" xfId="0" applyFont="1" applyFill="1" applyBorder="1" applyAlignment="1">
      <alignment horizontal="center"/>
    </xf>
    <xf numFmtId="0" fontId="0" fillId="24" borderId="13" xfId="0" applyFont="1" applyFill="1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0" fontId="0" fillId="0" borderId="44" xfId="0" applyFont="1" applyFill="1" applyBorder="1" applyAlignment="1">
      <alignment horizontal="center"/>
    </xf>
    <xf numFmtId="0" fontId="0" fillId="3" borderId="70" xfId="0" applyFont="1" applyFill="1" applyBorder="1" applyAlignment="1">
      <alignment horizontal="center"/>
    </xf>
    <xf numFmtId="0" fontId="0" fillId="3" borderId="54" xfId="0" applyFont="1" applyFill="1" applyBorder="1" applyAlignment="1">
      <alignment horizontal="center"/>
    </xf>
    <xf numFmtId="0" fontId="0" fillId="3" borderId="55" xfId="0" applyFont="1" applyFill="1" applyBorder="1" applyAlignment="1">
      <alignment horizontal="center"/>
    </xf>
    <xf numFmtId="0" fontId="0" fillId="26" borderId="70" xfId="0" applyFont="1" applyFill="1" applyBorder="1" applyAlignment="1">
      <alignment horizontal="center"/>
    </xf>
    <xf numFmtId="0" fontId="0" fillId="26" borderId="54" xfId="0" applyFont="1" applyFill="1" applyBorder="1" applyAlignment="1">
      <alignment horizontal="center"/>
    </xf>
    <xf numFmtId="0" fontId="0" fillId="26" borderId="55" xfId="0" applyFont="1" applyFill="1" applyBorder="1" applyAlignment="1">
      <alignment horizontal="center"/>
    </xf>
    <xf numFmtId="0" fontId="0" fillId="25" borderId="70" xfId="0" applyFont="1" applyFill="1" applyBorder="1" applyAlignment="1">
      <alignment horizontal="center"/>
    </xf>
    <xf numFmtId="0" fontId="0" fillId="25" borderId="54" xfId="0" applyFont="1" applyFill="1" applyBorder="1" applyAlignment="1">
      <alignment horizontal="center"/>
    </xf>
    <xf numFmtId="0" fontId="0" fillId="25" borderId="55" xfId="0" applyFont="1" applyFill="1" applyBorder="1" applyAlignment="1">
      <alignment horizontal="center"/>
    </xf>
    <xf numFmtId="0" fontId="0" fillId="27" borderId="40" xfId="0" applyFill="1" applyBorder="1" applyAlignment="1">
      <alignment horizontal="center"/>
    </xf>
    <xf numFmtId="0" fontId="0" fillId="27" borderId="41" xfId="0" applyFill="1" applyBorder="1" applyAlignment="1">
      <alignment horizontal="center"/>
    </xf>
    <xf numFmtId="0" fontId="0" fillId="27" borderId="42" xfId="0" applyFill="1" applyBorder="1" applyAlignment="1">
      <alignment horizontal="center"/>
    </xf>
    <xf numFmtId="166" fontId="0" fillId="0" borderId="67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65" xfId="0" applyFill="1" applyBorder="1" applyAlignment="1">
      <alignment horizontal="center"/>
    </xf>
    <xf numFmtId="0" fontId="0" fillId="0" borderId="47" xfId="0" applyFill="1" applyBorder="1" applyAlignment="1">
      <alignment horizontal="center"/>
    </xf>
    <xf numFmtId="166" fontId="0" fillId="0" borderId="21" xfId="0" applyNumberFormat="1" applyFill="1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166" fontId="0" fillId="0" borderId="3" xfId="0" applyNumberForma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166" fontId="0" fillId="0" borderId="17" xfId="0" applyNumberFormat="1" applyFill="1" applyBorder="1" applyAlignment="1">
      <alignment horizontal="center"/>
    </xf>
    <xf numFmtId="166" fontId="0" fillId="0" borderId="19" xfId="0" applyNumberFormat="1" applyFill="1" applyBorder="1" applyAlignment="1">
      <alignment horizontal="center"/>
    </xf>
    <xf numFmtId="166" fontId="0" fillId="0" borderId="20" xfId="0" applyNumberFormat="1" applyFill="1" applyBorder="1" applyAlignment="1">
      <alignment horizontal="center"/>
    </xf>
    <xf numFmtId="166" fontId="0" fillId="0" borderId="22" xfId="0" applyNumberForma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56" xfId="0" applyFill="1" applyBorder="1" applyAlignment="1">
      <alignment horizontal="center"/>
    </xf>
    <xf numFmtId="166" fontId="0" fillId="24" borderId="5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6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1" fontId="0" fillId="24" borderId="21" xfId="0" applyNumberFormat="1" applyFill="1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5050"/>
      <color rgb="FFFF6699"/>
      <color rgb="FFFF7C80"/>
      <color rgb="FF99FFCC"/>
      <color rgb="FFDB59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968832020997376"/>
          <c:y val="0.25083333333333335"/>
          <c:w val="0.58771937882764658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3 mins</c:v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'Linear Ice Accretion'!$J$12:$J$14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Accretion'!$K$12:$K$14</c:f>
              <c:numCache>
                <c:formatCode>General</c:formatCode>
                <c:ptCount val="3"/>
                <c:pt idx="0">
                  <c:v>2.1</c:v>
                </c:pt>
                <c:pt idx="1">
                  <c:v>3.2</c:v>
                </c:pt>
                <c:pt idx="2">
                  <c:v>3.9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02-4F5A-9291-710E45A5A893}"/>
            </c:ext>
          </c:extLst>
        </c:ser>
        <c:ser>
          <c:idx val="1"/>
          <c:order val="1"/>
          <c:tx>
            <c:v>5 mins</c:v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8749496937882763"/>
                  <c:y val="0.273202464275298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Accretion'!$J$17:$J$21</c:f>
              <c:numCache>
                <c:formatCode>General</c:formatCode>
                <c:ptCount val="5"/>
                <c:pt idx="0">
                  <c:v>0</c:v>
                </c:pt>
                <c:pt idx="1">
                  <c:v>26.7</c:v>
                </c:pt>
                <c:pt idx="2">
                  <c:v>44.4</c:v>
                </c:pt>
                <c:pt idx="3">
                  <c:v>62.2</c:v>
                </c:pt>
                <c:pt idx="4">
                  <c:v>80</c:v>
                </c:pt>
              </c:numCache>
            </c:numRef>
          </c:xVal>
          <c:yVal>
            <c:numRef>
              <c:f>'Linear Ice Accretion'!$K$17:$K$21</c:f>
              <c:numCache>
                <c:formatCode>General</c:formatCode>
                <c:ptCount val="5"/>
                <c:pt idx="1">
                  <c:v>3.5</c:v>
                </c:pt>
                <c:pt idx="2">
                  <c:v>5.2</c:v>
                </c:pt>
                <c:pt idx="3">
                  <c:v>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02-4F5A-9291-710E45A5A893}"/>
            </c:ext>
          </c:extLst>
        </c:ser>
        <c:ser>
          <c:idx val="2"/>
          <c:order val="2"/>
          <c:tx>
            <c:v>7 mins</c:v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'Linear Ice Accretion'!$J$23:$J$25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Accretion'!$K$23:$K$25</c:f>
              <c:numCache>
                <c:formatCode>General</c:formatCode>
                <c:ptCount val="3"/>
                <c:pt idx="0">
                  <c:v>5.2</c:v>
                </c:pt>
                <c:pt idx="1">
                  <c:v>7.1</c:v>
                </c:pt>
                <c:pt idx="2">
                  <c:v>8.6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02-4F5A-9291-710E45A5A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75408"/>
        <c:axId val="1763267792"/>
      </c:scatterChart>
      <c:valAx>
        <c:axId val="1763275408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WT Rotor</a:t>
                </a:r>
                <a:r>
                  <a:rPr lang="en-US" sz="1100" baseline="0"/>
                  <a:t> Blade </a:t>
                </a:r>
                <a:r>
                  <a:rPr lang="en-US" sz="1100"/>
                  <a:t>Span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7792"/>
        <c:crosses val="autoZero"/>
        <c:crossBetween val="midCat"/>
        <c:majorUnit val="20"/>
      </c:valAx>
      <c:valAx>
        <c:axId val="1763267792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Ice Thickness (mm)</a:t>
                </a:r>
              </a:p>
            </c:rich>
          </c:tx>
          <c:layout>
            <c:manualLayout>
              <c:xMode val="edge"/>
              <c:yMode val="edge"/>
              <c:x val="1.725043744531933E-2"/>
              <c:y val="0.320003645377661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540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884230096237976"/>
          <c:y val="0.333772601341499"/>
          <c:w val="0.29750021872265969"/>
          <c:h val="0.3917840478273549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Global Wind</a:t>
            </a:r>
            <a:r>
              <a:rPr lang="en-US" sz="1400" baseline="0"/>
              <a:t> Power Capacity Installed </a:t>
            </a:r>
          </a:p>
          <a:p>
            <a:pPr>
              <a:defRPr/>
            </a:pPr>
            <a:r>
              <a:rPr lang="en-US" sz="1400" baseline="0"/>
              <a:t>(1990-2015)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Sheet1!$D$6:$D$31</c:f>
              <c:numCache>
                <c:formatCode>General</c:formatCode>
                <c:ptCount val="26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</c:numCache>
            </c:numRef>
          </c:cat>
          <c:val>
            <c:numRef>
              <c:f>Sheet1!$E$6:$E$32</c:f>
              <c:numCache>
                <c:formatCode>General</c:formatCode>
                <c:ptCount val="27"/>
                <c:pt idx="0">
                  <c:v>2.4</c:v>
                </c:pt>
                <c:pt idx="1">
                  <c:v>2.7</c:v>
                </c:pt>
                <c:pt idx="2">
                  <c:v>3</c:v>
                </c:pt>
                <c:pt idx="3">
                  <c:v>3.1</c:v>
                </c:pt>
                <c:pt idx="4">
                  <c:v>3.8</c:v>
                </c:pt>
                <c:pt idx="5">
                  <c:v>4.9000000000000004</c:v>
                </c:pt>
                <c:pt idx="6">
                  <c:v>6</c:v>
                </c:pt>
                <c:pt idx="7">
                  <c:v>7</c:v>
                </c:pt>
                <c:pt idx="8">
                  <c:v>9.6999999999999993</c:v>
                </c:pt>
                <c:pt idx="9">
                  <c:v>13</c:v>
                </c:pt>
                <c:pt idx="10">
                  <c:v>17.5</c:v>
                </c:pt>
                <c:pt idx="11">
                  <c:v>24.3</c:v>
                </c:pt>
                <c:pt idx="12">
                  <c:v>31.1</c:v>
                </c:pt>
                <c:pt idx="13">
                  <c:v>39.200000000000003</c:v>
                </c:pt>
                <c:pt idx="14">
                  <c:v>47.5</c:v>
                </c:pt>
                <c:pt idx="15">
                  <c:v>59.1</c:v>
                </c:pt>
                <c:pt idx="16">
                  <c:v>74</c:v>
                </c:pt>
                <c:pt idx="17">
                  <c:v>93.8</c:v>
                </c:pt>
                <c:pt idx="18">
                  <c:v>121</c:v>
                </c:pt>
                <c:pt idx="19">
                  <c:v>158.5</c:v>
                </c:pt>
                <c:pt idx="20">
                  <c:v>199.9</c:v>
                </c:pt>
                <c:pt idx="21">
                  <c:v>243.9</c:v>
                </c:pt>
                <c:pt idx="22">
                  <c:v>292</c:v>
                </c:pt>
                <c:pt idx="23">
                  <c:v>346.5</c:v>
                </c:pt>
                <c:pt idx="24">
                  <c:v>409</c:v>
                </c:pt>
                <c:pt idx="25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1-459F-BD67-1FBFDD81D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8664575"/>
        <c:axId val="1328669983"/>
      </c:barChart>
      <c:catAx>
        <c:axId val="1328664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669983"/>
        <c:crosses val="autoZero"/>
        <c:auto val="1"/>
        <c:lblAlgn val="ctr"/>
        <c:lblOffset val="100"/>
        <c:noMultiLvlLbl val="0"/>
      </c:catAx>
      <c:valAx>
        <c:axId val="132866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Installed</a:t>
                </a:r>
                <a:r>
                  <a:rPr lang="en-US" baseline="0"/>
                  <a:t> Capacity (GW)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8350836796152535E-3"/>
              <c:y val="0.289281352026118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664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>
                <a:solidFill>
                  <a:schemeClr val="accent1">
                    <a:lumMod val="75000"/>
                  </a:schemeClr>
                </a:solidFill>
              </a:rPr>
              <a:t>LIGHT</a:t>
            </a:r>
            <a:r>
              <a:rPr lang="en-US" baseline="0"/>
              <a:t> Icing Conditions</a:t>
            </a:r>
          </a:p>
          <a:p>
            <a:pPr>
              <a:defRPr/>
            </a:pPr>
            <a:endParaRPr lang="en-US" sz="600" baseline="0"/>
          </a:p>
          <a:p>
            <a:pPr>
              <a:defRPr/>
            </a:pPr>
            <a:r>
              <a:rPr lang="en-US" baseline="0"/>
              <a:t>T = -8°C	LWC = 0.2 </a:t>
            </a:r>
            <a:r>
              <a:rPr lang="en-US" sz="1400" b="0" i="0" u="none" strike="noStrike" baseline="0">
                <a:effectLst/>
              </a:rPr>
              <a:t>g/m</a:t>
            </a:r>
            <a:r>
              <a:rPr lang="en-US" sz="1400" b="0" i="0" u="none" strike="noStrike" baseline="30000">
                <a:effectLst/>
              </a:rPr>
              <a:t>3</a:t>
            </a:r>
            <a:r>
              <a:rPr lang="en-US" sz="1400" b="0" i="0" u="none" strike="noStrike" baseline="0">
                <a:effectLst/>
              </a:rPr>
              <a:t>        MVD = 20 µm</a:t>
            </a:r>
            <a:endParaRPr lang="en-US"/>
          </a:p>
        </c:rich>
      </c:tx>
      <c:layout>
        <c:manualLayout>
          <c:xMode val="edge"/>
          <c:yMode val="edge"/>
          <c:x val="0.13931955380577427"/>
          <c:y val="1.9841426071741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68832020997376"/>
          <c:y val="0.25083333333333335"/>
          <c:w val="0.58771937882764658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3 mins</c:v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'Linear Ice Accretion'!$Q$12:$Q$14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Accretion'!$R$12:$R$14</c:f>
              <c:numCache>
                <c:formatCode>General</c:formatCode>
                <c:ptCount val="3"/>
                <c:pt idx="0">
                  <c:v>1.7</c:v>
                </c:pt>
                <c:pt idx="1">
                  <c:v>2.4</c:v>
                </c:pt>
                <c:pt idx="2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02-4F5A-9291-710E45A5A893}"/>
            </c:ext>
          </c:extLst>
        </c:ser>
        <c:ser>
          <c:idx val="1"/>
          <c:order val="1"/>
          <c:tx>
            <c:v>5 mins</c:v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20"/>
            <c:backward val="26"/>
            <c:dispRSqr val="0"/>
            <c:dispEq val="1"/>
            <c:trendlineLbl>
              <c:layout>
                <c:manualLayout>
                  <c:x val="0.26855489938757654"/>
                  <c:y val="0.203420822397200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Accretion'!$Q$18:$Q$20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Accretion'!$R$18:$R$20</c:f>
              <c:numCache>
                <c:formatCode>General</c:formatCode>
                <c:ptCount val="3"/>
                <c:pt idx="0">
                  <c:v>3.2</c:v>
                </c:pt>
                <c:pt idx="1">
                  <c:v>4.4000000000000004</c:v>
                </c:pt>
                <c:pt idx="2">
                  <c:v>5.2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02-4F5A-9291-710E45A5A893}"/>
            </c:ext>
          </c:extLst>
        </c:ser>
        <c:ser>
          <c:idx val="2"/>
          <c:order val="2"/>
          <c:tx>
            <c:v>7 mins</c:v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'Linear Ice Accretion'!$Q$23:$Q$25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Accretion'!$R$23:$R$25</c:f>
              <c:numCache>
                <c:formatCode>General</c:formatCode>
                <c:ptCount val="3"/>
                <c:pt idx="0">
                  <c:v>4.5999999999999996</c:v>
                </c:pt>
                <c:pt idx="1">
                  <c:v>6.2</c:v>
                </c:pt>
                <c:pt idx="2">
                  <c:v>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02-4F5A-9291-710E45A5A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73776"/>
        <c:axId val="1763278128"/>
      </c:scatterChart>
      <c:valAx>
        <c:axId val="1763273776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WT Rotor Blade Span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8128"/>
        <c:crosses val="autoZero"/>
        <c:crossBetween val="midCat"/>
        <c:majorUnit val="20"/>
      </c:valAx>
      <c:valAx>
        <c:axId val="1763278128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Ice Thickness (mm)</a:t>
                </a:r>
              </a:p>
            </c:rich>
          </c:tx>
          <c:layout>
            <c:manualLayout>
              <c:xMode val="edge"/>
              <c:yMode val="edge"/>
              <c:x val="1.725043744531933E-2"/>
              <c:y val="0.33389253426655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377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550896762904626"/>
          <c:y val="0.3245133420822397"/>
          <c:w val="0.28171325459317587"/>
          <c:h val="0.3912058909303003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i="1">
                <a:solidFill>
                  <a:srgbClr val="C00000"/>
                </a:solidFill>
              </a:rPr>
              <a:t>SEVERE</a:t>
            </a:r>
            <a:r>
              <a:rPr lang="en-US"/>
              <a:t> </a:t>
            </a:r>
            <a:r>
              <a:rPr lang="en-US" i="0"/>
              <a:t>Icing</a:t>
            </a:r>
            <a:r>
              <a:rPr lang="en-US"/>
              <a:t> Conditions</a:t>
            </a:r>
          </a:p>
          <a:p>
            <a:pPr>
              <a:defRPr/>
            </a:pPr>
            <a:endParaRPr lang="en-US" sz="600"/>
          </a:p>
          <a:p>
            <a:pPr>
              <a:defRPr/>
            </a:pPr>
            <a:r>
              <a:rPr lang="en-US"/>
              <a:t>T = -8°C	LWC = 0.9 g/m3        MVD = 35 µm</a:t>
            </a:r>
          </a:p>
        </c:rich>
      </c:tx>
      <c:layout>
        <c:manualLayout>
          <c:xMode val="edge"/>
          <c:yMode val="edge"/>
          <c:x val="0.13376399825021873"/>
          <c:y val="1.9841426071741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02169663126068"/>
          <c:y val="0.25083333333333335"/>
          <c:w val="0.58771937882764658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3 mins</c:v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'Linear Ice Accretion'!$W$12:$W$14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Accretion'!$X$12:$X$14</c:f>
              <c:numCache>
                <c:formatCode>General</c:formatCode>
                <c:ptCount val="3"/>
                <c:pt idx="0">
                  <c:v>3.5</c:v>
                </c:pt>
                <c:pt idx="1">
                  <c:v>5</c:v>
                </c:pt>
                <c:pt idx="2">
                  <c:v>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02-4F5A-9291-710E45A5A893}"/>
            </c:ext>
          </c:extLst>
        </c:ser>
        <c:ser>
          <c:idx val="1"/>
          <c:order val="1"/>
          <c:tx>
            <c:v>5 mins</c:v>
          </c:tx>
          <c:spPr>
            <a:ln w="2222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20"/>
            <c:backward val="26"/>
            <c:dispRSqr val="0"/>
            <c:dispEq val="1"/>
            <c:trendlineLbl>
              <c:layout>
                <c:manualLayout>
                  <c:x val="0.26577712160979877"/>
                  <c:y val="0.411595581802274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Accretion'!$W$18:$W$20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Accretion'!$X$18:$X$20</c:f>
              <c:numCache>
                <c:formatCode>General</c:formatCode>
                <c:ptCount val="3"/>
                <c:pt idx="0">
                  <c:v>5.5</c:v>
                </c:pt>
                <c:pt idx="1">
                  <c:v>7.5</c:v>
                </c:pt>
                <c:pt idx="2">
                  <c:v>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302-4F5A-9291-710E45A5A893}"/>
            </c:ext>
          </c:extLst>
        </c:ser>
        <c:ser>
          <c:idx val="2"/>
          <c:order val="2"/>
          <c:tx>
            <c:v>7 mins</c:v>
          </c:tx>
          <c:spPr>
            <a:ln w="2222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'Linear Ice Accretion'!$W$23:$W$25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Accretion'!$X$23:$X$25</c:f>
              <c:numCache>
                <c:formatCode>General</c:formatCode>
                <c:ptCount val="3"/>
                <c:pt idx="0">
                  <c:v>8</c:v>
                </c:pt>
                <c:pt idx="1">
                  <c:v>10.5</c:v>
                </c:pt>
                <c:pt idx="2">
                  <c:v>12.8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302-4F5A-9291-710E45A5A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65072"/>
        <c:axId val="1763277040"/>
      </c:scatterChart>
      <c:valAx>
        <c:axId val="1763265072"/>
        <c:scaling>
          <c:orientation val="minMax"/>
          <c:max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WT Rotor Blade Span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7040"/>
        <c:crosses val="autoZero"/>
        <c:crossBetween val="midCat"/>
        <c:majorUnit val="20"/>
      </c:valAx>
      <c:valAx>
        <c:axId val="1763277040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Ice Thickness (mm)</a:t>
                </a:r>
              </a:p>
            </c:rich>
          </c:tx>
          <c:layout>
            <c:manualLayout>
              <c:xMode val="edge"/>
              <c:yMode val="edge"/>
              <c:x val="2.0028215223097112E-2"/>
              <c:y val="0.313917322834645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5072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39785651793521"/>
          <c:y val="0.33840223097112859"/>
          <c:w val="0.2697224409448819"/>
          <c:h val="0.3640062700495771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Ice Accretion Rate vs Rotor Span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45603674540679"/>
          <c:y val="0.17171296296296298"/>
          <c:w val="0.5606610879266436"/>
          <c:h val="0.62271617089530473"/>
        </c:manualLayout>
      </c:layout>
      <c:scatterChart>
        <c:scatterStyle val="smoothMarker"/>
        <c:varyColors val="0"/>
        <c:ser>
          <c:idx val="0"/>
          <c:order val="0"/>
          <c:tx>
            <c:v>Light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3"/>
            <c:backward val="20"/>
            <c:dispRSqr val="0"/>
            <c:dispEq val="1"/>
            <c:trendlineLbl>
              <c:layout>
                <c:manualLayout>
                  <c:x val="0.27993686700914783"/>
                  <c:y val="0.2501939340915718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Accretion'!$E$5:$E$7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Accretion'!$I$5:$I$7</c:f>
              <c:numCache>
                <c:formatCode>0.000</c:formatCode>
                <c:ptCount val="3"/>
                <c:pt idx="0">
                  <c:v>0.72499999999999998</c:v>
                </c:pt>
                <c:pt idx="1">
                  <c:v>0.95</c:v>
                </c:pt>
                <c:pt idx="2">
                  <c:v>1.125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A0-4250-8492-458578E6591F}"/>
            </c:ext>
          </c:extLst>
        </c:ser>
        <c:ser>
          <c:idx val="1"/>
          <c:order val="1"/>
          <c:tx>
            <c:v>Medium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13"/>
            <c:backward val="20"/>
            <c:dispRSqr val="0"/>
            <c:dispEq val="1"/>
            <c:trendlineLbl>
              <c:layout>
                <c:manualLayout>
                  <c:x val="0.27993686700914783"/>
                  <c:y val="0.343326407115777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Accretion'!$E$5:$E$7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Accretion'!$M$5:$M$7</c:f>
              <c:numCache>
                <c:formatCode>0.000</c:formatCode>
                <c:ptCount val="3"/>
                <c:pt idx="0">
                  <c:v>0.77500000000000002</c:v>
                </c:pt>
                <c:pt idx="1">
                  <c:v>0.97499999999999998</c:v>
                </c:pt>
                <c:pt idx="2">
                  <c:v>1.175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A0-4250-8492-458578E6591F}"/>
            </c:ext>
          </c:extLst>
        </c:ser>
        <c:ser>
          <c:idx val="2"/>
          <c:order val="2"/>
          <c:tx>
            <c:v>Severe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forward val="12"/>
            <c:backward val="20"/>
            <c:dispRSqr val="0"/>
            <c:dispEq val="1"/>
            <c:trendlineLbl>
              <c:layout>
                <c:manualLayout>
                  <c:x val="0.28452754387080381"/>
                  <c:y val="0.560749489647127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'Linear Ice Accretion'!$E$5:$E$7</c:f>
              <c:numCache>
                <c:formatCode>General</c:formatCode>
                <c:ptCount val="3"/>
                <c:pt idx="0">
                  <c:v>26.7</c:v>
                </c:pt>
                <c:pt idx="1">
                  <c:v>44.4</c:v>
                </c:pt>
                <c:pt idx="2">
                  <c:v>62.2</c:v>
                </c:pt>
              </c:numCache>
            </c:numRef>
          </c:xVal>
          <c:yVal>
            <c:numRef>
              <c:f>'Linear Ice Accretion'!$Q$5:$Q$7</c:f>
              <c:numCache>
                <c:formatCode>0.000</c:formatCode>
                <c:ptCount val="3"/>
                <c:pt idx="0">
                  <c:v>1.125</c:v>
                </c:pt>
                <c:pt idx="1">
                  <c:v>1.375</c:v>
                </c:pt>
                <c:pt idx="2">
                  <c:v>1.575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A0-4250-8492-458578E65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117439"/>
        <c:axId val="1419117855"/>
      </c:scatterChart>
      <c:valAx>
        <c:axId val="1419117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WT Rotor Blade</a:t>
                </a:r>
                <a:r>
                  <a:rPr lang="en-US" baseline="0"/>
                  <a:t> Span %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9117855"/>
        <c:crosses val="autoZero"/>
        <c:crossBetween val="midCat"/>
      </c:valAx>
      <c:valAx>
        <c:axId val="1419117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Ice Accretion Rate (mm/min)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1974923447069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91174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695028667220766"/>
          <c:y val="0.11247557596967046"/>
          <c:w val="0.2330497133277924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Minimum Ice Thickness for Shedding</a:t>
            </a:r>
          </a:p>
          <a:p>
            <a:pPr>
              <a:defRPr/>
            </a:pPr>
            <a:r>
              <a:rPr lang="en-US" sz="1200"/>
              <a:t>Temperature:</a:t>
            </a:r>
            <a:r>
              <a:rPr lang="en-US" sz="1200" baseline="0"/>
              <a:t> </a:t>
            </a:r>
            <a:r>
              <a:rPr lang="en-US" sz="1200"/>
              <a:t>-8°C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69921097324133"/>
          <c:y val="0.20916666666666667"/>
          <c:w val="0.49723025392917464"/>
          <c:h val="0.58526246719160091"/>
        </c:manualLayout>
      </c:layout>
      <c:scatterChart>
        <c:scatterStyle val="smoothMarker"/>
        <c:varyColors val="0"/>
        <c:ser>
          <c:idx val="0"/>
          <c:order val="0"/>
          <c:tx>
            <c:v>LIGHT (0.2 g/m^3) 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'Min. Shedding Thicknesses'!$D$4:$D$7</c:f>
              <c:numCache>
                <c:formatCode>General</c:formatCode>
                <c:ptCount val="4"/>
                <c:pt idx="0">
                  <c:v>0.26700000000000002</c:v>
                </c:pt>
                <c:pt idx="1">
                  <c:v>0.44400000000000001</c:v>
                </c:pt>
                <c:pt idx="2">
                  <c:v>0.622</c:v>
                </c:pt>
                <c:pt idx="3">
                  <c:v>0.8</c:v>
                </c:pt>
              </c:numCache>
            </c:numRef>
          </c:xVal>
          <c:yVal>
            <c:numRef>
              <c:f>'Min. Shedding Thicknesses'!$E$4:$E$7</c:f>
              <c:numCache>
                <c:formatCode>General</c:formatCode>
                <c:ptCount val="4"/>
                <c:pt idx="0">
                  <c:v>6</c:v>
                </c:pt>
                <c:pt idx="1">
                  <c:v>4</c:v>
                </c:pt>
                <c:pt idx="2">
                  <c:v>2.8</c:v>
                </c:pt>
                <c:pt idx="3">
                  <c:v>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79-441D-BE6B-AA5B69F5E55A}"/>
            </c:ext>
          </c:extLst>
        </c:ser>
        <c:ser>
          <c:idx val="1"/>
          <c:order val="1"/>
          <c:tx>
            <c:v>MEDIUM (0.4 g/m^3)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'Min. Shedding Thicknesses'!$D$4:$D$7</c:f>
              <c:numCache>
                <c:formatCode>General</c:formatCode>
                <c:ptCount val="4"/>
                <c:pt idx="0">
                  <c:v>0.26700000000000002</c:v>
                </c:pt>
                <c:pt idx="1">
                  <c:v>0.44400000000000001</c:v>
                </c:pt>
                <c:pt idx="2">
                  <c:v>0.622</c:v>
                </c:pt>
                <c:pt idx="3">
                  <c:v>0.8</c:v>
                </c:pt>
              </c:numCache>
            </c:numRef>
          </c:xVal>
          <c:yVal>
            <c:numRef>
              <c:f>'Min. Shedding Thicknesses'!$F$4:$F$7</c:f>
              <c:numCache>
                <c:formatCode>General</c:formatCode>
                <c:ptCount val="4"/>
                <c:pt idx="0">
                  <c:v>6.8</c:v>
                </c:pt>
                <c:pt idx="1">
                  <c:v>5</c:v>
                </c:pt>
                <c:pt idx="2">
                  <c:v>3.7</c:v>
                </c:pt>
                <c:pt idx="3">
                  <c:v>3.2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AA-43FF-9C99-9544CEBEFAB8}"/>
            </c:ext>
          </c:extLst>
        </c:ser>
        <c:ser>
          <c:idx val="2"/>
          <c:order val="2"/>
          <c:tx>
            <c:v>SEVERE (0.9 g/m^3)</c:v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'Min. Shedding Thicknesses'!$D$4:$D$7</c:f>
              <c:numCache>
                <c:formatCode>General</c:formatCode>
                <c:ptCount val="4"/>
                <c:pt idx="0">
                  <c:v>0.26700000000000002</c:v>
                </c:pt>
                <c:pt idx="1">
                  <c:v>0.44400000000000001</c:v>
                </c:pt>
                <c:pt idx="2">
                  <c:v>0.622</c:v>
                </c:pt>
                <c:pt idx="3">
                  <c:v>0.8</c:v>
                </c:pt>
              </c:numCache>
            </c:numRef>
          </c:xVal>
          <c:yVal>
            <c:numRef>
              <c:f>'Min. Shedding Thicknesses'!$G$4:$G$7</c:f>
              <c:numCache>
                <c:formatCode>General</c:formatCode>
                <c:ptCount val="4"/>
                <c:pt idx="0">
                  <c:v>7.2</c:v>
                </c:pt>
                <c:pt idx="1">
                  <c:v>5</c:v>
                </c:pt>
                <c:pt idx="2">
                  <c:v>4</c:v>
                </c:pt>
                <c:pt idx="3">
                  <c:v>3.8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8AA-43FF-9C99-9544CEBEFAB8}"/>
            </c:ext>
          </c:extLst>
        </c:ser>
        <c:ser>
          <c:idx val="3"/>
          <c:order val="3"/>
          <c:tx>
            <c:v>Average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'Min. Shedding Thicknesses'!$D$4:$D$7</c:f>
              <c:numCache>
                <c:formatCode>General</c:formatCode>
                <c:ptCount val="4"/>
                <c:pt idx="0">
                  <c:v>0.26700000000000002</c:v>
                </c:pt>
                <c:pt idx="1">
                  <c:v>0.44400000000000001</c:v>
                </c:pt>
                <c:pt idx="2">
                  <c:v>0.622</c:v>
                </c:pt>
                <c:pt idx="3">
                  <c:v>0.8</c:v>
                </c:pt>
              </c:numCache>
            </c:numRef>
          </c:xVal>
          <c:yVal>
            <c:numRef>
              <c:f>'Min. Shedding Thicknesses'!$H$4:$H$7</c:f>
              <c:numCache>
                <c:formatCode>0.00</c:formatCode>
                <c:ptCount val="4"/>
                <c:pt idx="0">
                  <c:v>6.666666666666667</c:v>
                </c:pt>
                <c:pt idx="1">
                  <c:v>4.666666666666667</c:v>
                </c:pt>
                <c:pt idx="2">
                  <c:v>3.5</c:v>
                </c:pt>
                <c:pt idx="3">
                  <c:v>3.1666666666666665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A5-4149-848F-9DDA5F138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75952"/>
        <c:axId val="1763269424"/>
      </c:scatterChart>
      <c:valAx>
        <c:axId val="1763275952"/>
        <c:scaling>
          <c:orientation val="minMax"/>
          <c:max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WT Rotor Blade Span %</a:t>
                </a:r>
              </a:p>
            </c:rich>
          </c:tx>
          <c:layout>
            <c:manualLayout>
              <c:xMode val="edge"/>
              <c:yMode val="edge"/>
              <c:x val="0.25092589484053296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9424"/>
        <c:crosses val="autoZero"/>
        <c:crossBetween val="midCat"/>
      </c:valAx>
      <c:valAx>
        <c:axId val="176326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Ice Thickness (mm)</a:t>
                </a:r>
              </a:p>
            </c:rich>
          </c:tx>
          <c:layout>
            <c:manualLayout>
              <c:xMode val="edge"/>
              <c:yMode val="edge"/>
              <c:x val="1.5073686251497584E-2"/>
              <c:y val="0.287770122484689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5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296909910714809"/>
          <c:y val="0.33924686497521145"/>
          <c:w val="0.24584740351475518"/>
          <c:h val="0.334868766404199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Density</a:t>
            </a:r>
            <a:r>
              <a:rPr lang="en-US" baseline="0"/>
              <a:t> </a:t>
            </a:r>
            <a:r>
              <a:rPr lang="en-US"/>
              <a:t>Variation</a:t>
            </a:r>
          </a:p>
          <a:p>
            <a:pPr>
              <a:defRPr/>
            </a:pPr>
            <a:r>
              <a:rPr lang="en-US">
                <a:solidFill>
                  <a:srgbClr val="00B050"/>
                </a:solidFill>
              </a:rPr>
              <a:t>Heater</a:t>
            </a:r>
            <a:r>
              <a:rPr lang="en-US" baseline="0">
                <a:solidFill>
                  <a:srgbClr val="00B050"/>
                </a:solidFill>
              </a:rPr>
              <a:t> Zone 4</a:t>
            </a:r>
            <a:endParaRPr lang="en-US">
              <a:solidFill>
                <a:srgbClr val="00B05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15048118985127"/>
          <c:y val="0.25083333333333335"/>
          <c:w val="0.6352935258092739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LIGHT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'Power Variation'!$A$4:$A$7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Variation'!$C$4:$C$7</c:f>
              <c:numCache>
                <c:formatCode>General</c:formatCode>
                <c:ptCount val="4"/>
                <c:pt idx="0">
                  <c:v>28</c:v>
                </c:pt>
                <c:pt idx="1">
                  <c:v>35</c:v>
                </c:pt>
                <c:pt idx="2">
                  <c:v>83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C7-4708-9449-D00CE2BBBD93}"/>
            </c:ext>
          </c:extLst>
        </c:ser>
        <c:ser>
          <c:idx val="1"/>
          <c:order val="1"/>
          <c:tx>
            <c:v>MEDIUM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'Power Variation'!$A$4:$A$7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Variation'!$D$4:$D$7</c:f>
              <c:numCache>
                <c:formatCode>General</c:formatCode>
                <c:ptCount val="4"/>
                <c:pt idx="0">
                  <c:v>22</c:v>
                </c:pt>
                <c:pt idx="1">
                  <c:v>32</c:v>
                </c:pt>
                <c:pt idx="2">
                  <c:v>65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C7-4708-9449-D00CE2BBB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67248"/>
        <c:axId val="1763276496"/>
      </c:scatterChart>
      <c:valAx>
        <c:axId val="1763267248"/>
        <c:scaling>
          <c:orientation val="minMax"/>
          <c:max val="0.4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Power Density (W/cm^2)</a:t>
                </a:r>
              </a:p>
            </c:rich>
          </c:tx>
          <c:layout>
            <c:manualLayout>
              <c:xMode val="edge"/>
              <c:yMode val="edge"/>
              <c:x val="0.30181824146981628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76496"/>
        <c:crosses val="autoZero"/>
        <c:crossBetween val="midCat"/>
      </c:valAx>
      <c:valAx>
        <c:axId val="17632764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Shed Time (Seconds)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01563438590794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7248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815223097112862"/>
          <c:y val="0.44775408282298046"/>
          <c:w val="0.20518110236220471"/>
          <c:h val="0.191295469509610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Density Variation</a:t>
            </a:r>
          </a:p>
          <a:p>
            <a:pPr>
              <a:defRPr/>
            </a:pPr>
            <a:r>
              <a:rPr lang="en-US">
                <a:solidFill>
                  <a:schemeClr val="accent4">
                    <a:lumMod val="75000"/>
                  </a:schemeClr>
                </a:solidFill>
              </a:rPr>
              <a:t>Heater Zone 3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92825896762903"/>
          <c:y val="0.25083333333333335"/>
          <c:w val="0.63251574803149602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LIGHT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'Power Variation'!$A$11:$A$14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Variation'!$C$11:$C$14</c:f>
              <c:numCache>
                <c:formatCode>General</c:formatCode>
                <c:ptCount val="4"/>
                <c:pt idx="0">
                  <c:v>25</c:v>
                </c:pt>
                <c:pt idx="1">
                  <c:v>48</c:v>
                </c:pt>
                <c:pt idx="2">
                  <c:v>88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C7-4708-9449-D00CE2BBBD93}"/>
            </c:ext>
          </c:extLst>
        </c:ser>
        <c:ser>
          <c:idx val="1"/>
          <c:order val="1"/>
          <c:tx>
            <c:v>MEDIUM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'Power Variation'!$A$11:$A$14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Variation'!$D$11:$D$14</c:f>
              <c:numCache>
                <c:formatCode>General</c:formatCode>
                <c:ptCount val="4"/>
                <c:pt idx="0">
                  <c:v>25</c:v>
                </c:pt>
                <c:pt idx="1">
                  <c:v>38</c:v>
                </c:pt>
                <c:pt idx="2">
                  <c:v>82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C7-4708-9449-D00CE2BBB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69968"/>
        <c:axId val="1763268336"/>
      </c:scatterChart>
      <c:valAx>
        <c:axId val="1763269968"/>
        <c:scaling>
          <c:orientation val="minMax"/>
          <c:max val="0.4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Power Density (W/cm^2)</a:t>
                </a:r>
              </a:p>
            </c:rich>
          </c:tx>
          <c:layout>
            <c:manualLayout>
              <c:xMode val="edge"/>
              <c:yMode val="edge"/>
              <c:x val="0.30181824146981628"/>
              <c:y val="0.892601331407968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8336"/>
        <c:crosses val="autoZero"/>
        <c:crossBetween val="midCat"/>
      </c:valAx>
      <c:valAx>
        <c:axId val="176326833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Shed Time (Seconds)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6460579970756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9968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537445319335085"/>
          <c:y val="0.44775408282298046"/>
          <c:w val="0.20795888013998251"/>
          <c:h val="0.19154910134503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Density Variation</a:t>
            </a:r>
          </a:p>
          <a:p>
            <a:pPr>
              <a:defRPr/>
            </a:pPr>
            <a:r>
              <a:rPr lang="en-US">
                <a:solidFill>
                  <a:srgbClr val="C00000"/>
                </a:solidFill>
              </a:rPr>
              <a:t>Heater Zone 2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26159230096239"/>
          <c:y val="0.25083333333333335"/>
          <c:w val="0.62418241469816271"/>
          <c:h val="0.54359580052493439"/>
        </c:manualLayout>
      </c:layout>
      <c:scatterChart>
        <c:scatterStyle val="smoothMarker"/>
        <c:varyColors val="0"/>
        <c:ser>
          <c:idx val="0"/>
          <c:order val="0"/>
          <c:tx>
            <c:v>LIGHT</c:v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'Power Variation'!$A$18:$A$21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Variation'!$C$18:$C$21</c:f>
              <c:numCache>
                <c:formatCode>General</c:formatCode>
                <c:ptCount val="4"/>
                <c:pt idx="0">
                  <c:v>28</c:v>
                </c:pt>
                <c:pt idx="1">
                  <c:v>47</c:v>
                </c:pt>
                <c:pt idx="2">
                  <c:v>67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C7-4708-9449-D00CE2BBBD93}"/>
            </c:ext>
          </c:extLst>
        </c:ser>
        <c:ser>
          <c:idx val="1"/>
          <c:order val="1"/>
          <c:tx>
            <c:v>MEDIUM</c:v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'Power Variation'!$A$18:$A$21</c:f>
              <c:numCache>
                <c:formatCode>General</c:formatCode>
                <c:ptCount val="4"/>
                <c:pt idx="0">
                  <c:v>0.38500000000000001</c:v>
                </c:pt>
                <c:pt idx="1">
                  <c:v>0.33</c:v>
                </c:pt>
                <c:pt idx="2">
                  <c:v>0.27</c:v>
                </c:pt>
                <c:pt idx="3">
                  <c:v>0.22500000000000001</c:v>
                </c:pt>
              </c:numCache>
            </c:numRef>
          </c:xVal>
          <c:yVal>
            <c:numRef>
              <c:f>'Power Variation'!$D$18:$D$21</c:f>
              <c:numCache>
                <c:formatCode>General</c:formatCode>
                <c:ptCount val="4"/>
                <c:pt idx="0">
                  <c:v>24</c:v>
                </c:pt>
                <c:pt idx="1">
                  <c:v>57</c:v>
                </c:pt>
                <c:pt idx="2">
                  <c:v>85</c:v>
                </c:pt>
                <c:pt idx="3">
                  <c:v>180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C7-4708-9449-D00CE2BBBD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3265616"/>
        <c:axId val="1763266160"/>
      </c:scatterChart>
      <c:valAx>
        <c:axId val="1763265616"/>
        <c:scaling>
          <c:orientation val="minMax"/>
          <c:max val="0.4"/>
          <c:min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Power Density (W/cm^2)</a:t>
                </a:r>
              </a:p>
            </c:rich>
          </c:tx>
          <c:layout>
            <c:manualLayout>
              <c:xMode val="edge"/>
              <c:yMode val="edge"/>
              <c:x val="0.30181824146981628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6160"/>
        <c:crosses val="autoZero"/>
        <c:crossBetween val="midCat"/>
      </c:valAx>
      <c:valAx>
        <c:axId val="176326616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Shed Time (Seconds)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1091827063283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3265616"/>
        <c:crosses val="autoZero"/>
        <c:crossBetween val="midCat"/>
        <c:majorUnit val="4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815223097112862"/>
          <c:y val="0.44775408282298046"/>
          <c:w val="0.20518110236220471"/>
          <c:h val="0.191677238261883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Light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'Digitzed Areas'!$B$41:$E$41</c:f>
              <c:numCache>
                <c:formatCode>General</c:formatCode>
                <c:ptCount val="4"/>
                <c:pt idx="0">
                  <c:v>80</c:v>
                </c:pt>
                <c:pt idx="1">
                  <c:v>62.2</c:v>
                </c:pt>
                <c:pt idx="2">
                  <c:v>44.4</c:v>
                </c:pt>
                <c:pt idx="3">
                  <c:v>26.7</c:v>
                </c:pt>
              </c:numCache>
            </c:numRef>
          </c:xVal>
          <c:yVal>
            <c:numRef>
              <c:f>'Digitzed Areas'!$B$39:$E$39</c:f>
              <c:numCache>
                <c:formatCode>0.00</c:formatCode>
                <c:ptCount val="4"/>
                <c:pt idx="0">
                  <c:v>857.51090880000004</c:v>
                </c:pt>
                <c:pt idx="1">
                  <c:v>1115.211384</c:v>
                </c:pt>
                <c:pt idx="2">
                  <c:v>1553.4698928</c:v>
                </c:pt>
                <c:pt idx="3">
                  <c:v>2476.6636776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40-4EB6-9369-E92531A9A8B6}"/>
            </c:ext>
          </c:extLst>
        </c:ser>
        <c:ser>
          <c:idx val="1"/>
          <c:order val="1"/>
          <c:tx>
            <c:v>Medium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'Digitzed Areas'!$B$41:$E$41</c:f>
              <c:numCache>
                <c:formatCode>General</c:formatCode>
                <c:ptCount val="4"/>
                <c:pt idx="0">
                  <c:v>80</c:v>
                </c:pt>
                <c:pt idx="1">
                  <c:v>62.2</c:v>
                </c:pt>
                <c:pt idx="2">
                  <c:v>44.4</c:v>
                </c:pt>
                <c:pt idx="3">
                  <c:v>26.7</c:v>
                </c:pt>
              </c:numCache>
            </c:numRef>
          </c:xVal>
          <c:yVal>
            <c:numRef>
              <c:f>'Digitzed Areas'!$F$39:$I$39</c:f>
              <c:numCache>
                <c:formatCode>0.00</c:formatCode>
                <c:ptCount val="4"/>
                <c:pt idx="0">
                  <c:v>1141.4845343999998</c:v>
                </c:pt>
                <c:pt idx="1">
                  <c:v>1294.3719096</c:v>
                </c:pt>
                <c:pt idx="2">
                  <c:v>1760.8600799999999</c:v>
                </c:pt>
                <c:pt idx="3">
                  <c:v>2735.7616607999998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40-4EB6-9369-E92531A9A8B6}"/>
            </c:ext>
          </c:extLst>
        </c:ser>
        <c:ser>
          <c:idx val="2"/>
          <c:order val="2"/>
          <c:tx>
            <c:v>Severe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'Digitzed Areas'!$B$41:$E$41</c:f>
              <c:numCache>
                <c:formatCode>General</c:formatCode>
                <c:ptCount val="4"/>
                <c:pt idx="0">
                  <c:v>80</c:v>
                </c:pt>
                <c:pt idx="1">
                  <c:v>62.2</c:v>
                </c:pt>
                <c:pt idx="2">
                  <c:v>44.4</c:v>
                </c:pt>
                <c:pt idx="3">
                  <c:v>26.7</c:v>
                </c:pt>
              </c:numCache>
            </c:numRef>
          </c:xVal>
          <c:yVal>
            <c:numRef>
              <c:f>'Digitzed Areas'!$J$39:$M$39</c:f>
              <c:numCache>
                <c:formatCode>0.00</c:formatCode>
                <c:ptCount val="4"/>
                <c:pt idx="0">
                  <c:v>1392.1974696</c:v>
                </c:pt>
                <c:pt idx="1">
                  <c:v>1562.9729471999999</c:v>
                </c:pt>
                <c:pt idx="2">
                  <c:v>2268.1554839999999</c:v>
                </c:pt>
                <c:pt idx="3">
                  <c:v>3036.2258807999997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40-4EB6-9369-E92531A9A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506159"/>
        <c:axId val="1299507407"/>
      </c:scatterChart>
      <c:valAx>
        <c:axId val="1299506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507407"/>
        <c:crosses val="autoZero"/>
        <c:crossBetween val="midCat"/>
      </c:valAx>
      <c:valAx>
        <c:axId val="129950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50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361950</xdr:colOff>
      <xdr:row>0</xdr:row>
      <xdr:rowOff>0</xdr:rowOff>
    </xdr:from>
    <xdr:to>
      <xdr:col>24</xdr:col>
      <xdr:colOff>133350</xdr:colOff>
      <xdr:row>27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10600" y="0"/>
          <a:ext cx="7086600" cy="531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9525</xdr:colOff>
      <xdr:row>11</xdr:row>
      <xdr:rowOff>171450</xdr:rowOff>
    </xdr:from>
    <xdr:to>
      <xdr:col>15</xdr:col>
      <xdr:colOff>28575</xdr:colOff>
      <xdr:row>15</xdr:row>
      <xdr:rowOff>9525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10086975" y="2266950"/>
          <a:ext cx="190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304800</xdr:colOff>
      <xdr:row>11</xdr:row>
      <xdr:rowOff>152400</xdr:rowOff>
    </xdr:from>
    <xdr:to>
      <xdr:col>15</xdr:col>
      <xdr:colOff>323850</xdr:colOff>
      <xdr:row>14</xdr:row>
      <xdr:rowOff>180975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 flipH="1">
          <a:off x="10382250" y="2247900"/>
          <a:ext cx="190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</xdr:colOff>
      <xdr:row>11</xdr:row>
      <xdr:rowOff>161925</xdr:rowOff>
    </xdr:from>
    <xdr:to>
      <xdr:col>16</xdr:col>
      <xdr:colOff>28575</xdr:colOff>
      <xdr:row>15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CxnSpPr/>
      </xdr:nvCxnSpPr>
      <xdr:spPr>
        <a:xfrm flipH="1">
          <a:off x="10696575" y="2257425"/>
          <a:ext cx="190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11</xdr:row>
      <xdr:rowOff>171450</xdr:rowOff>
    </xdr:from>
    <xdr:to>
      <xdr:col>16</xdr:col>
      <xdr:colOff>333375</xdr:colOff>
      <xdr:row>15</xdr:row>
      <xdr:rowOff>9525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 flipH="1">
          <a:off x="11001375" y="2266950"/>
          <a:ext cx="190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590550</xdr:colOff>
      <xdr:row>12</xdr:row>
      <xdr:rowOff>9525</xdr:rowOff>
    </xdr:from>
    <xdr:to>
      <xdr:col>17</xdr:col>
      <xdr:colOff>0</xdr:colOff>
      <xdr:row>15</xdr:row>
      <xdr:rowOff>38100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CxnSpPr/>
      </xdr:nvCxnSpPr>
      <xdr:spPr>
        <a:xfrm flipH="1">
          <a:off x="11277600" y="2295525"/>
          <a:ext cx="19050" cy="6000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295275</xdr:colOff>
      <xdr:row>13</xdr:row>
      <xdr:rowOff>57150</xdr:rowOff>
    </xdr:from>
    <xdr:to>
      <xdr:col>16</xdr:col>
      <xdr:colOff>600075</xdr:colOff>
      <xdr:row>13</xdr:row>
      <xdr:rowOff>180975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 flipH="1" flipV="1">
          <a:off x="9763125" y="2533650"/>
          <a:ext cx="1524000" cy="123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12</xdr:col>
      <xdr:colOff>447675</xdr:colOff>
      <xdr:row>1</xdr:row>
      <xdr:rowOff>85725</xdr:rowOff>
    </xdr:from>
    <xdr:ext cx="3190875" cy="140743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8696325" y="276225"/>
          <a:ext cx="3190875" cy="14074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200" b="1">
              <a:solidFill>
                <a:schemeClr val="bg1"/>
              </a:solidFill>
            </a:rPr>
            <a:t>1) How Long to Fire a Zone for Shedding?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2) Are</a:t>
          </a:r>
          <a:r>
            <a:rPr lang="en-US" sz="1200" b="1" baseline="0">
              <a:solidFill>
                <a:schemeClr val="bg1"/>
              </a:solidFill>
            </a:rPr>
            <a:t> there run back issues at the selected low power densities?</a:t>
          </a:r>
        </a:p>
        <a:p>
          <a:endParaRPr lang="en-US" sz="1200" b="1" baseline="0">
            <a:solidFill>
              <a:schemeClr val="bg1"/>
            </a:solidFill>
          </a:endParaRPr>
        </a:p>
        <a:p>
          <a:r>
            <a:rPr lang="en-US" sz="1200" b="1" baseline="0">
              <a:solidFill>
                <a:schemeClr val="bg1"/>
              </a:solidFill>
            </a:rPr>
            <a:t>3) What is the ice thickness needed to promote cohesive failure after de-icing?</a:t>
          </a:r>
          <a:endParaRPr lang="en-US" sz="1200" b="1">
            <a:solidFill>
              <a:schemeClr val="bg1"/>
            </a:solidFill>
          </a:endParaRPr>
        </a:p>
      </xdr:txBody>
    </xdr:sp>
    <xdr:clientData/>
  </xdr:oneCellAnchor>
  <xdr:oneCellAnchor>
    <xdr:from>
      <xdr:col>14</xdr:col>
      <xdr:colOff>304800</xdr:colOff>
      <xdr:row>13</xdr:row>
      <xdr:rowOff>95250</xdr:rowOff>
    </xdr:from>
    <xdr:ext cx="322204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9772650" y="2571750"/>
          <a:ext cx="3222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Z1</a:t>
          </a:r>
        </a:p>
      </xdr:txBody>
    </xdr:sp>
    <xdr:clientData/>
  </xdr:oneCellAnchor>
  <xdr:oneCellAnchor>
    <xdr:from>
      <xdr:col>15</xdr:col>
      <xdr:colOff>0</xdr:colOff>
      <xdr:row>13</xdr:row>
      <xdr:rowOff>114300</xdr:rowOff>
    </xdr:from>
    <xdr:ext cx="322204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0077450" y="2590800"/>
          <a:ext cx="3222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Z2</a:t>
          </a:r>
        </a:p>
      </xdr:txBody>
    </xdr:sp>
    <xdr:clientData/>
  </xdr:oneCellAnchor>
  <xdr:oneCellAnchor>
    <xdr:from>
      <xdr:col>15</xdr:col>
      <xdr:colOff>323850</xdr:colOff>
      <xdr:row>13</xdr:row>
      <xdr:rowOff>142875</xdr:rowOff>
    </xdr:from>
    <xdr:ext cx="322204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0401300" y="2619375"/>
          <a:ext cx="3222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Z3</a:t>
          </a:r>
        </a:p>
      </xdr:txBody>
    </xdr:sp>
    <xdr:clientData/>
  </xdr:oneCellAnchor>
  <xdr:oneCellAnchor>
    <xdr:from>
      <xdr:col>16</xdr:col>
      <xdr:colOff>0</xdr:colOff>
      <xdr:row>13</xdr:row>
      <xdr:rowOff>171450</xdr:rowOff>
    </xdr:from>
    <xdr:ext cx="322204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0687050" y="2647950"/>
          <a:ext cx="3222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Z4</a:t>
          </a:r>
        </a:p>
      </xdr:txBody>
    </xdr:sp>
    <xdr:clientData/>
  </xdr:oneCellAnchor>
  <xdr:oneCellAnchor>
    <xdr:from>
      <xdr:col>16</xdr:col>
      <xdr:colOff>285750</xdr:colOff>
      <xdr:row>14</xdr:row>
      <xdr:rowOff>28575</xdr:rowOff>
    </xdr:from>
    <xdr:ext cx="322204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0972800" y="2695575"/>
          <a:ext cx="32220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Z5</a:t>
          </a:r>
        </a:p>
      </xdr:txBody>
    </xdr:sp>
    <xdr:clientData/>
  </xdr:oneCellAnchor>
  <xdr:twoCellAnchor editAs="oneCell">
    <xdr:from>
      <xdr:col>12</xdr:col>
      <xdr:colOff>226337</xdr:colOff>
      <xdr:row>22</xdr:row>
      <xdr:rowOff>183533</xdr:rowOff>
    </xdr:from>
    <xdr:to>
      <xdr:col>17</xdr:col>
      <xdr:colOff>161925</xdr:colOff>
      <xdr:row>28</xdr:row>
      <xdr:rowOff>104775</xdr:rowOff>
    </xdr:to>
    <xdr:pic>
      <xdr:nvPicPr>
        <xdr:cNvPr id="32" name="Picture 31" descr="Image result for psu  logo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4987" y="4374533"/>
          <a:ext cx="2983588" cy="1064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228638</xdr:colOff>
      <xdr:row>24</xdr:row>
      <xdr:rowOff>161925</xdr:rowOff>
    </xdr:from>
    <xdr:to>
      <xdr:col>20</xdr:col>
      <xdr:colOff>133350</xdr:colOff>
      <xdr:row>27</xdr:row>
      <xdr:rowOff>28575</xdr:rowOff>
    </xdr:to>
    <xdr:pic>
      <xdr:nvPicPr>
        <xdr:cNvPr id="33" name="Picture 32" descr="Image result for dupont logo png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88" y="4733925"/>
          <a:ext cx="1123912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18</xdr:row>
      <xdr:rowOff>123825</xdr:rowOff>
    </xdr:from>
    <xdr:to>
      <xdr:col>8</xdr:col>
      <xdr:colOff>361951</xdr:colOff>
      <xdr:row>20</xdr:row>
      <xdr:rowOff>142875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28650" y="2790825"/>
          <a:ext cx="4810126" cy="400050"/>
        </a:xfrm>
        <a:prstGeom prst="roundRect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371475</xdr:colOff>
      <xdr:row>18</xdr:row>
      <xdr:rowOff>76200</xdr:rowOff>
    </xdr:from>
    <xdr:to>
      <xdr:col>9</xdr:col>
      <xdr:colOff>304800</xdr:colOff>
      <xdr:row>21</xdr:row>
      <xdr:rowOff>9525</xdr:rowOff>
    </xdr:to>
    <xdr:sp macro="" textlink="">
      <xdr:nvSpPr>
        <xdr:cNvPr id="3" name="Flowchart: Connector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448300" y="2743200"/>
          <a:ext cx="542925" cy="504825"/>
        </a:xfrm>
        <a:prstGeom prst="flowChartConnector">
          <a:avLst/>
        </a:prstGeom>
        <a:solidFill>
          <a:schemeClr val="accent4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0</xdr:colOff>
      <xdr:row>18</xdr:row>
      <xdr:rowOff>133350</xdr:rowOff>
    </xdr:from>
    <xdr:to>
      <xdr:col>2</xdr:col>
      <xdr:colOff>0</xdr:colOff>
      <xdr:row>20</xdr:row>
      <xdr:rowOff>142875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1304925" y="2800350"/>
          <a:ext cx="0" cy="390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18</xdr:row>
      <xdr:rowOff>133350</xdr:rowOff>
    </xdr:from>
    <xdr:to>
      <xdr:col>3</xdr:col>
      <xdr:colOff>0</xdr:colOff>
      <xdr:row>20</xdr:row>
      <xdr:rowOff>142875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1943100" y="2800350"/>
          <a:ext cx="0" cy="390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18</xdr:row>
      <xdr:rowOff>133350</xdr:rowOff>
    </xdr:from>
    <xdr:to>
      <xdr:col>4</xdr:col>
      <xdr:colOff>0</xdr:colOff>
      <xdr:row>20</xdr:row>
      <xdr:rowOff>142875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2552700" y="2800350"/>
          <a:ext cx="0" cy="390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18</xdr:row>
      <xdr:rowOff>133350</xdr:rowOff>
    </xdr:from>
    <xdr:to>
      <xdr:col>5</xdr:col>
      <xdr:colOff>0</xdr:colOff>
      <xdr:row>20</xdr:row>
      <xdr:rowOff>142875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/>
      </xdr:nvCxnSpPr>
      <xdr:spPr>
        <a:xfrm>
          <a:off x="3162300" y="2800350"/>
          <a:ext cx="0" cy="390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133350</xdr:rowOff>
    </xdr:from>
    <xdr:to>
      <xdr:col>6</xdr:col>
      <xdr:colOff>0</xdr:colOff>
      <xdr:row>20</xdr:row>
      <xdr:rowOff>142875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>
          <a:off x="3857625" y="2800350"/>
          <a:ext cx="0" cy="390525"/>
        </a:xfrm>
        <a:prstGeom prst="line">
          <a:avLst/>
        </a:prstGeom>
        <a:ln w="381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209550</xdr:colOff>
      <xdr:row>19</xdr:row>
      <xdr:rowOff>28575</xdr:rowOff>
    </xdr:from>
    <xdr:to>
      <xdr:col>1</xdr:col>
      <xdr:colOff>571500</xdr:colOff>
      <xdr:row>20</xdr:row>
      <xdr:rowOff>76200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819150" y="2886075"/>
          <a:ext cx="361950" cy="2381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1</a:t>
          </a:r>
        </a:p>
      </xdr:txBody>
    </xdr:sp>
    <xdr:clientData/>
  </xdr:twoCellAnchor>
  <xdr:twoCellAnchor>
    <xdr:from>
      <xdr:col>2</xdr:col>
      <xdr:colOff>152400</xdr:colOff>
      <xdr:row>19</xdr:row>
      <xdr:rowOff>28575</xdr:rowOff>
    </xdr:from>
    <xdr:to>
      <xdr:col>2</xdr:col>
      <xdr:colOff>514350</xdr:colOff>
      <xdr:row>20</xdr:row>
      <xdr:rowOff>76200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1457325" y="2886075"/>
          <a:ext cx="361950" cy="2381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2</a:t>
          </a:r>
        </a:p>
      </xdr:txBody>
    </xdr:sp>
    <xdr:clientData/>
  </xdr:twoCellAnchor>
  <xdr:twoCellAnchor>
    <xdr:from>
      <xdr:col>3</xdr:col>
      <xdr:colOff>123825</xdr:colOff>
      <xdr:row>19</xdr:row>
      <xdr:rowOff>19050</xdr:rowOff>
    </xdr:from>
    <xdr:to>
      <xdr:col>3</xdr:col>
      <xdr:colOff>485775</xdr:colOff>
      <xdr:row>20</xdr:row>
      <xdr:rowOff>66675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2066925" y="2876550"/>
          <a:ext cx="361950" cy="2381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3</a:t>
          </a:r>
        </a:p>
      </xdr:txBody>
    </xdr:sp>
    <xdr:clientData/>
  </xdr:twoCellAnchor>
  <xdr:twoCellAnchor>
    <xdr:from>
      <xdr:col>4</xdr:col>
      <xdr:colOff>104775</xdr:colOff>
      <xdr:row>19</xdr:row>
      <xdr:rowOff>28575</xdr:rowOff>
    </xdr:from>
    <xdr:to>
      <xdr:col>4</xdr:col>
      <xdr:colOff>466725</xdr:colOff>
      <xdr:row>20</xdr:row>
      <xdr:rowOff>76200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2657475" y="2886075"/>
          <a:ext cx="361950" cy="2381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4</a:t>
          </a:r>
        </a:p>
      </xdr:txBody>
    </xdr:sp>
    <xdr:clientData/>
  </xdr:twoCellAnchor>
  <xdr:twoCellAnchor>
    <xdr:from>
      <xdr:col>5</xdr:col>
      <xdr:colOff>171450</xdr:colOff>
      <xdr:row>19</xdr:row>
      <xdr:rowOff>38100</xdr:rowOff>
    </xdr:from>
    <xdr:to>
      <xdr:col>5</xdr:col>
      <xdr:colOff>533400</xdr:colOff>
      <xdr:row>20</xdr:row>
      <xdr:rowOff>85725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3333750" y="2895600"/>
          <a:ext cx="361950" cy="23812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17</xdr:row>
          <xdr:rowOff>47625</xdr:rowOff>
        </xdr:from>
        <xdr:to>
          <xdr:col>9</xdr:col>
          <xdr:colOff>581025</xdr:colOff>
          <xdr:row>30</xdr:row>
          <xdr:rowOff>171450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3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66675</xdr:rowOff>
        </xdr:from>
        <xdr:to>
          <xdr:col>9</xdr:col>
          <xdr:colOff>581025</xdr:colOff>
          <xdr:row>16</xdr:row>
          <xdr:rowOff>180975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5</xdr:row>
          <xdr:rowOff>161925</xdr:rowOff>
        </xdr:from>
        <xdr:to>
          <xdr:col>20</xdr:col>
          <xdr:colOff>400050</xdr:colOff>
          <xdr:row>26</xdr:row>
          <xdr:rowOff>38100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3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14</xdr:col>
      <xdr:colOff>552450</xdr:colOff>
      <xdr:row>7</xdr:row>
      <xdr:rowOff>28575</xdr:rowOff>
    </xdr:from>
    <xdr:to>
      <xdr:col>15</xdr:col>
      <xdr:colOff>238125</xdr:colOff>
      <xdr:row>8</xdr:row>
      <xdr:rowOff>104775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086850" y="1362075"/>
          <a:ext cx="295275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276224</xdr:colOff>
      <xdr:row>7</xdr:row>
      <xdr:rowOff>100011</xdr:rowOff>
    </xdr:from>
    <xdr:to>
      <xdr:col>21</xdr:col>
      <xdr:colOff>76199</xdr:colOff>
      <xdr:row>21</xdr:row>
      <xdr:rowOff>119061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219074</xdr:colOff>
      <xdr:row>8</xdr:row>
      <xdr:rowOff>0</xdr:rowOff>
    </xdr:from>
    <xdr:to>
      <xdr:col>12</xdr:col>
      <xdr:colOff>133349</xdr:colOff>
      <xdr:row>22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523874</xdr:colOff>
      <xdr:row>7</xdr:row>
      <xdr:rowOff>52386</xdr:rowOff>
    </xdr:from>
    <xdr:to>
      <xdr:col>26</xdr:col>
      <xdr:colOff>542924</xdr:colOff>
      <xdr:row>21</xdr:row>
      <xdr:rowOff>71436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90487</xdr:colOff>
      <xdr:row>22</xdr:row>
      <xdr:rowOff>104775</xdr:rowOff>
    </xdr:from>
    <xdr:to>
      <xdr:col>11</xdr:col>
      <xdr:colOff>600075</xdr:colOff>
      <xdr:row>36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0.12708</cdr:x>
      <cdr:y>0.00174</cdr:y>
    </cdr:from>
    <cdr:to>
      <cdr:x>0.90833</cdr:x>
      <cdr:y>0.2691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36DBF19-3D77-4519-8692-AE361C3F8ACE}"/>
            </a:ext>
          </a:extLst>
        </cdr:cNvPr>
        <cdr:cNvSpPr txBox="1"/>
      </cdr:nvSpPr>
      <cdr:spPr>
        <a:xfrm xmlns:a="http://schemas.openxmlformats.org/drawingml/2006/main">
          <a:off x="581026" y="4764"/>
          <a:ext cx="3571875" cy="733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lang="en-US" i="1">
              <a:solidFill>
                <a:schemeClr val="accent4">
                  <a:lumMod val="75000"/>
                </a:schemeClr>
              </a:solidFill>
            </a:rPr>
            <a:t>MEDIUM</a:t>
          </a:r>
          <a:r>
            <a:rPr lang="en-US" baseline="0"/>
            <a:t> Icing Conditions</a:t>
          </a:r>
        </a:p>
        <a:p xmlns:a="http://schemas.openxmlformats.org/drawingml/2006/main"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 sz="600" baseline="0"/>
        </a:p>
        <a:p xmlns:a="http://schemas.openxmlformats.org/drawingml/2006/main"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lang="en-US" baseline="0"/>
            <a:t>T = -8°C	LWC = 0.4 </a:t>
          </a:r>
          <a:r>
            <a:rPr lang="en-US" sz="1400" b="0" i="0" u="none" strike="noStrike" baseline="0">
              <a:effectLst/>
            </a:rPr>
            <a:t>g/m</a:t>
          </a:r>
          <a:r>
            <a:rPr lang="en-US" sz="1400" b="0" i="0" u="none" strike="noStrike" baseline="30000">
              <a:effectLst/>
            </a:rPr>
            <a:t>3</a:t>
          </a:r>
          <a:r>
            <a:rPr lang="en-US" sz="1400" b="0" i="0" u="none" strike="noStrike" baseline="0">
              <a:effectLst/>
            </a:rPr>
            <a:t>        MVD = 20 µm</a:t>
          </a:r>
          <a:endParaRPr lang="en-US"/>
        </a:p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7</xdr:col>
      <xdr:colOff>629478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0</xdr:rowOff>
    </xdr:from>
    <xdr:to>
      <xdr:col>12</xdr:col>
      <xdr:colOff>0</xdr:colOff>
      <xdr:row>15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16</xdr:row>
      <xdr:rowOff>0</xdr:rowOff>
    </xdr:from>
    <xdr:to>
      <xdr:col>12</xdr:col>
      <xdr:colOff>0</xdr:colOff>
      <xdr:row>30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03FC53-1987-4BC1-9375-D8AD2AD065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304800</xdr:colOff>
      <xdr:row>31</xdr:row>
      <xdr:rowOff>0</xdr:rowOff>
    </xdr:from>
    <xdr:to>
      <xdr:col>12</xdr:col>
      <xdr:colOff>0</xdr:colOff>
      <xdr:row>45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75797A-6E81-4C16-815E-66A812754D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438150</xdr:colOff>
      <xdr:row>13</xdr:row>
      <xdr:rowOff>47625</xdr:rowOff>
    </xdr:from>
    <xdr:to>
      <xdr:col>28</xdr:col>
      <xdr:colOff>133350</xdr:colOff>
      <xdr:row>28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7</xdr:row>
      <xdr:rowOff>38100</xdr:rowOff>
    </xdr:from>
    <xdr:to>
      <xdr:col>18</xdr:col>
      <xdr:colOff>476250</xdr:colOff>
      <xdr:row>27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2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.docx"/><Relationship Id="rId9" Type="http://schemas.openxmlformats.org/officeDocument/2006/relationships/image" Target="../media/image6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G21"/>
  <sheetViews>
    <sheetView topLeftCell="B1" workbookViewId="0">
      <selection activeCell="H29" sqref="H29"/>
    </sheetView>
  </sheetViews>
  <sheetFormatPr defaultRowHeight="15" x14ac:dyDescent="0.25"/>
  <cols>
    <col min="4" max="4" width="23.140625" bestFit="1" customWidth="1"/>
  </cols>
  <sheetData>
    <row r="5" spans="4:7" x14ac:dyDescent="0.25">
      <c r="D5" t="s">
        <v>6</v>
      </c>
      <c r="E5" s="1">
        <v>100</v>
      </c>
      <c r="F5" t="s">
        <v>7</v>
      </c>
    </row>
    <row r="6" spans="4:7" x14ac:dyDescent="0.25">
      <c r="D6" t="s">
        <v>18</v>
      </c>
      <c r="E6" s="1">
        <v>480</v>
      </c>
      <c r="F6" t="s">
        <v>14</v>
      </c>
    </row>
    <row r="7" spans="4:7" x14ac:dyDescent="0.25">
      <c r="D7" t="s">
        <v>16</v>
      </c>
      <c r="E7" s="1">
        <f>E6/SQRT(2)</f>
        <v>339.41125496954277</v>
      </c>
      <c r="F7" t="s">
        <v>8</v>
      </c>
    </row>
    <row r="8" spans="4:7" x14ac:dyDescent="0.25">
      <c r="D8" t="s">
        <v>17</v>
      </c>
      <c r="E8" s="1">
        <f>E9/(E6/SQRT(2))</f>
        <v>294.62782549439481</v>
      </c>
      <c r="F8" t="s">
        <v>21</v>
      </c>
    </row>
    <row r="9" spans="4:7" x14ac:dyDescent="0.25">
      <c r="D9" t="s">
        <v>0</v>
      </c>
      <c r="E9" s="1">
        <v>100000</v>
      </c>
      <c r="F9" t="s">
        <v>5</v>
      </c>
    </row>
    <row r="10" spans="4:7" x14ac:dyDescent="0.25">
      <c r="E10" s="1"/>
    </row>
    <row r="11" spans="4:7" x14ac:dyDescent="0.25">
      <c r="D11" t="s">
        <v>11</v>
      </c>
      <c r="E11" s="1">
        <v>45</v>
      </c>
      <c r="F11" t="s">
        <v>12</v>
      </c>
    </row>
    <row r="12" spans="4:7" x14ac:dyDescent="0.25">
      <c r="D12" t="s">
        <v>13</v>
      </c>
      <c r="E12" s="1">
        <v>1</v>
      </c>
      <c r="F12" t="s">
        <v>12</v>
      </c>
    </row>
    <row r="13" spans="4:7" x14ac:dyDescent="0.25">
      <c r="D13" t="s">
        <v>1</v>
      </c>
      <c r="E13" s="1">
        <f>(E12*(E11*0.74)/E15)*E14</f>
        <v>24.974999999999998</v>
      </c>
      <c r="F13" t="s">
        <v>2</v>
      </c>
      <c r="G13" t="s">
        <v>78</v>
      </c>
    </row>
    <row r="14" spans="4:7" x14ac:dyDescent="0.25">
      <c r="D14" t="s">
        <v>3</v>
      </c>
      <c r="E14" s="1">
        <v>3</v>
      </c>
    </row>
    <row r="15" spans="4:7" x14ac:dyDescent="0.25">
      <c r="D15" t="s">
        <v>4</v>
      </c>
      <c r="E15" s="1">
        <v>4</v>
      </c>
    </row>
    <row r="16" spans="4:7" x14ac:dyDescent="0.25">
      <c r="E16" s="1"/>
    </row>
    <row r="17" spans="4:6" x14ac:dyDescent="0.25">
      <c r="D17" t="s">
        <v>9</v>
      </c>
      <c r="E17" s="1">
        <f>E9/E13</f>
        <v>4004.0040040040044</v>
      </c>
      <c r="F17" t="s">
        <v>10</v>
      </c>
    </row>
    <row r="18" spans="4:6" x14ac:dyDescent="0.25">
      <c r="D18" t="s">
        <v>9</v>
      </c>
      <c r="E18" s="1">
        <f>E17/10000</f>
        <v>0.40040040040040042</v>
      </c>
      <c r="F18" t="s">
        <v>15</v>
      </c>
    </row>
    <row r="19" spans="4:6" x14ac:dyDescent="0.25">
      <c r="D19" s="2" t="s">
        <v>9</v>
      </c>
      <c r="E19" s="3">
        <f>E18*6.4516</f>
        <v>2.5832232232232233</v>
      </c>
      <c r="F19" s="2" t="s">
        <v>19</v>
      </c>
    </row>
    <row r="21" spans="4:6" x14ac:dyDescent="0.25">
      <c r="E21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"/>
  <sheetViews>
    <sheetView zoomScaleNormal="100" workbookViewId="0">
      <selection activeCell="Q19" sqref="Q19"/>
    </sheetView>
  </sheetViews>
  <sheetFormatPr defaultRowHeight="15" x14ac:dyDescent="0.25"/>
  <cols>
    <col min="3" max="3" width="14" bestFit="1" customWidth="1"/>
    <col min="4" max="4" width="13.85546875" customWidth="1"/>
    <col min="5" max="7" width="14" customWidth="1"/>
    <col min="11" max="11" width="14.140625" customWidth="1"/>
    <col min="12" max="12" width="14.42578125" customWidth="1"/>
    <col min="13" max="13" width="14.7109375" customWidth="1"/>
    <col min="14" max="14" width="14.85546875" customWidth="1"/>
    <col min="15" max="15" width="14.7109375" customWidth="1"/>
    <col min="19" max="19" width="14" customWidth="1"/>
    <col min="20" max="20" width="14.140625" customWidth="1"/>
    <col min="21" max="21" width="15.28515625" customWidth="1"/>
    <col min="22" max="22" width="14.5703125" customWidth="1"/>
    <col min="23" max="23" width="13.7109375" customWidth="1"/>
  </cols>
  <sheetData>
    <row r="1" spans="1:24" ht="16.5" customHeight="1" thickBot="1" x14ac:dyDescent="0.3">
      <c r="A1" s="96"/>
      <c r="B1" s="475" t="s">
        <v>236</v>
      </c>
      <c r="C1" s="476"/>
      <c r="D1" s="476"/>
      <c r="E1" s="476"/>
      <c r="F1" s="477"/>
      <c r="G1" s="97"/>
      <c r="H1" s="98"/>
      <c r="I1" s="96"/>
      <c r="J1" s="475" t="s">
        <v>241</v>
      </c>
      <c r="K1" s="476"/>
      <c r="L1" s="476"/>
      <c r="M1" s="476"/>
      <c r="N1" s="477"/>
      <c r="O1" s="97"/>
      <c r="P1" s="98"/>
      <c r="Q1" s="96"/>
      <c r="R1" s="475" t="s">
        <v>242</v>
      </c>
      <c r="S1" s="476"/>
      <c r="T1" s="476"/>
      <c r="U1" s="476"/>
      <c r="V1" s="477"/>
      <c r="W1" s="97"/>
      <c r="X1" s="98"/>
    </row>
    <row r="2" spans="1:24" ht="45" customHeight="1" thickBot="1" x14ac:dyDescent="0.3">
      <c r="A2" s="99"/>
      <c r="B2" s="394"/>
      <c r="C2" s="402" t="s">
        <v>237</v>
      </c>
      <c r="D2" s="402" t="s">
        <v>238</v>
      </c>
      <c r="E2" s="402" t="s">
        <v>239</v>
      </c>
      <c r="F2" s="402" t="s">
        <v>240</v>
      </c>
      <c r="G2" s="100"/>
      <c r="H2" s="101"/>
      <c r="I2" s="99"/>
      <c r="J2" s="394"/>
      <c r="K2" s="402" t="s">
        <v>237</v>
      </c>
      <c r="L2" s="402" t="s">
        <v>238</v>
      </c>
      <c r="M2" s="402" t="s">
        <v>239</v>
      </c>
      <c r="N2" s="402" t="s">
        <v>240</v>
      </c>
      <c r="O2" s="100"/>
      <c r="P2" s="101"/>
      <c r="Q2" s="99"/>
      <c r="R2" s="394"/>
      <c r="S2" s="402" t="s">
        <v>237</v>
      </c>
      <c r="T2" s="402" t="s">
        <v>238</v>
      </c>
      <c r="U2" s="402" t="s">
        <v>239</v>
      </c>
      <c r="V2" s="402" t="s">
        <v>240</v>
      </c>
      <c r="W2" s="100"/>
      <c r="X2" s="101"/>
    </row>
    <row r="3" spans="1:24" x14ac:dyDescent="0.25">
      <c r="A3" s="99"/>
      <c r="B3" s="395" t="s">
        <v>43</v>
      </c>
      <c r="C3" s="403">
        <v>1.85</v>
      </c>
      <c r="D3" s="408">
        <v>3.8</v>
      </c>
      <c r="E3" s="403">
        <f>D3/C3</f>
        <v>2.0540540540540539</v>
      </c>
      <c r="F3" s="399">
        <f>E3*60</f>
        <v>123.24324324324324</v>
      </c>
      <c r="G3" s="100"/>
      <c r="H3" s="101"/>
      <c r="I3" s="99"/>
      <c r="J3" s="395" t="s">
        <v>43</v>
      </c>
      <c r="K3" s="403">
        <v>1.45</v>
      </c>
      <c r="L3" s="408">
        <v>3.2</v>
      </c>
      <c r="M3" s="403">
        <f>L3/K3</f>
        <v>2.2068965517241379</v>
      </c>
      <c r="N3" s="399">
        <f>M3*60</f>
        <v>132.41379310344828</v>
      </c>
      <c r="O3" s="100"/>
      <c r="P3" s="101"/>
      <c r="Q3" s="99"/>
      <c r="R3" s="395" t="s">
        <v>43</v>
      </c>
      <c r="S3" s="403">
        <v>1.35</v>
      </c>
      <c r="T3" s="408">
        <v>2.5</v>
      </c>
      <c r="U3" s="403">
        <f>T3/S3</f>
        <v>1.8518518518518516</v>
      </c>
      <c r="V3" s="399">
        <f>U3*60</f>
        <v>111.1111111111111</v>
      </c>
      <c r="W3" s="100"/>
      <c r="X3" s="101"/>
    </row>
    <row r="4" spans="1:24" x14ac:dyDescent="0.25">
      <c r="A4" s="99"/>
      <c r="B4" s="396" t="s">
        <v>54</v>
      </c>
      <c r="C4" s="371">
        <v>1.575</v>
      </c>
      <c r="D4" s="409">
        <v>4</v>
      </c>
      <c r="E4" s="404">
        <f t="shared" ref="E4:E6" si="0">D4/C4</f>
        <v>2.5396825396825395</v>
      </c>
      <c r="F4" s="400">
        <f t="shared" ref="F4:F6" si="1">E4*60</f>
        <v>152.38095238095238</v>
      </c>
      <c r="G4" s="100"/>
      <c r="H4" s="101"/>
      <c r="I4" s="99"/>
      <c r="J4" s="396" t="s">
        <v>54</v>
      </c>
      <c r="K4" s="371">
        <v>1.175</v>
      </c>
      <c r="L4" s="409">
        <v>3.7</v>
      </c>
      <c r="M4" s="404">
        <f t="shared" ref="M4:M6" si="2">L4/K4</f>
        <v>3.1489361702127661</v>
      </c>
      <c r="N4" s="400">
        <f t="shared" ref="N4:N6" si="3">M4*60</f>
        <v>188.93617021276597</v>
      </c>
      <c r="O4" s="100"/>
      <c r="P4" s="101"/>
      <c r="Q4" s="99"/>
      <c r="R4" s="396" t="s">
        <v>54</v>
      </c>
      <c r="S4" s="371">
        <v>1.125</v>
      </c>
      <c r="T4" s="409">
        <v>2.8</v>
      </c>
      <c r="U4" s="404">
        <f t="shared" ref="U4:U6" si="4">T4/S4</f>
        <v>2.4888888888888889</v>
      </c>
      <c r="V4" s="400">
        <f t="shared" ref="V4:V6" si="5">U4*60</f>
        <v>149.33333333333334</v>
      </c>
      <c r="W4" s="100"/>
      <c r="X4" s="101"/>
    </row>
    <row r="5" spans="1:24" x14ac:dyDescent="0.25">
      <c r="A5" s="99"/>
      <c r="B5" s="397" t="s">
        <v>55</v>
      </c>
      <c r="C5" s="371">
        <v>1.375</v>
      </c>
      <c r="D5" s="409">
        <v>5</v>
      </c>
      <c r="E5" s="404">
        <f t="shared" si="0"/>
        <v>3.6363636363636362</v>
      </c>
      <c r="F5" s="400">
        <f t="shared" si="1"/>
        <v>218.18181818181819</v>
      </c>
      <c r="G5" s="100"/>
      <c r="H5" s="101"/>
      <c r="I5" s="99"/>
      <c r="J5" s="397" t="s">
        <v>55</v>
      </c>
      <c r="K5" s="371">
        <v>0.97499999999999998</v>
      </c>
      <c r="L5" s="409">
        <v>5</v>
      </c>
      <c r="M5" s="404">
        <f t="shared" si="2"/>
        <v>5.1282051282051286</v>
      </c>
      <c r="N5" s="400">
        <f t="shared" si="3"/>
        <v>307.69230769230774</v>
      </c>
      <c r="O5" s="100"/>
      <c r="P5" s="101"/>
      <c r="Q5" s="99"/>
      <c r="R5" s="397" t="s">
        <v>55</v>
      </c>
      <c r="S5" s="371">
        <v>0.95</v>
      </c>
      <c r="T5" s="409">
        <v>4</v>
      </c>
      <c r="U5" s="404">
        <f t="shared" si="4"/>
        <v>4.2105263157894735</v>
      </c>
      <c r="V5" s="400">
        <f t="shared" si="5"/>
        <v>252.63157894736841</v>
      </c>
      <c r="W5" s="100"/>
      <c r="X5" s="101"/>
    </row>
    <row r="6" spans="1:24" ht="15.75" thickBot="1" x14ac:dyDescent="0.3">
      <c r="A6" s="99"/>
      <c r="B6" s="398" t="s">
        <v>56</v>
      </c>
      <c r="C6" s="372">
        <v>1.125</v>
      </c>
      <c r="D6" s="410">
        <v>7.2</v>
      </c>
      <c r="E6" s="405">
        <f t="shared" si="0"/>
        <v>6.4</v>
      </c>
      <c r="F6" s="401">
        <f t="shared" si="1"/>
        <v>384</v>
      </c>
      <c r="G6" s="100"/>
      <c r="H6" s="101"/>
      <c r="I6" s="99"/>
      <c r="J6" s="398" t="s">
        <v>56</v>
      </c>
      <c r="K6" s="372">
        <v>0.77500000000000002</v>
      </c>
      <c r="L6" s="410">
        <v>6.8</v>
      </c>
      <c r="M6" s="405">
        <f t="shared" si="2"/>
        <v>8.7741935483870961</v>
      </c>
      <c r="N6" s="401">
        <f t="shared" si="3"/>
        <v>526.45161290322574</v>
      </c>
      <c r="O6" s="100"/>
      <c r="P6" s="101"/>
      <c r="Q6" s="99"/>
      <c r="R6" s="398" t="s">
        <v>56</v>
      </c>
      <c r="S6" s="372">
        <v>0.72499999999999998</v>
      </c>
      <c r="T6" s="410">
        <v>6</v>
      </c>
      <c r="U6" s="405">
        <f t="shared" si="4"/>
        <v>8.2758620689655178</v>
      </c>
      <c r="V6" s="401">
        <f t="shared" si="5"/>
        <v>496.55172413793105</v>
      </c>
      <c r="W6" s="100"/>
      <c r="X6" s="101"/>
    </row>
    <row r="7" spans="1:24" x14ac:dyDescent="0.25">
      <c r="A7" s="99"/>
      <c r="B7" s="100"/>
      <c r="C7" s="40"/>
      <c r="D7" s="40"/>
      <c r="E7" s="209"/>
      <c r="F7" s="406"/>
      <c r="G7" s="100"/>
      <c r="H7" s="101"/>
      <c r="I7" s="99"/>
      <c r="J7" s="100"/>
      <c r="K7" s="100"/>
      <c r="L7" s="100"/>
      <c r="M7" s="100"/>
      <c r="N7" s="100"/>
      <c r="O7" s="100"/>
      <c r="P7" s="101"/>
      <c r="Q7" s="99"/>
      <c r="R7" s="100"/>
      <c r="S7" s="100"/>
      <c r="T7" s="100"/>
      <c r="U7" s="100"/>
      <c r="V7" s="100"/>
      <c r="W7" s="100"/>
      <c r="X7" s="101"/>
    </row>
    <row r="8" spans="1:24" ht="15.75" thickBot="1" x14ac:dyDescent="0.3">
      <c r="A8" s="99"/>
      <c r="B8" s="100"/>
      <c r="C8" s="100"/>
      <c r="D8" s="100"/>
      <c r="E8" s="100"/>
      <c r="F8" s="100"/>
      <c r="G8" s="100"/>
      <c r="H8" s="101"/>
      <c r="I8" s="99"/>
      <c r="J8" s="100"/>
      <c r="K8" s="100"/>
      <c r="L8" s="100"/>
      <c r="M8" s="100"/>
      <c r="N8" s="100"/>
      <c r="O8" s="100"/>
      <c r="P8" s="101"/>
      <c r="Q8" s="99"/>
      <c r="R8" s="100"/>
      <c r="S8" s="100"/>
      <c r="T8" s="100"/>
      <c r="U8" s="100"/>
      <c r="V8" s="100"/>
      <c r="W8" s="100"/>
      <c r="X8" s="101"/>
    </row>
    <row r="9" spans="1:24" ht="15.75" customHeight="1" thickBot="1" x14ac:dyDescent="0.3">
      <c r="A9" s="99"/>
      <c r="B9" s="475" t="s">
        <v>235</v>
      </c>
      <c r="C9" s="476"/>
      <c r="D9" s="476"/>
      <c r="E9" s="476"/>
      <c r="F9" s="476"/>
      <c r="G9" s="477"/>
      <c r="H9" s="102"/>
      <c r="I9" s="411"/>
      <c r="J9" s="475" t="s">
        <v>235</v>
      </c>
      <c r="K9" s="476"/>
      <c r="L9" s="476"/>
      <c r="M9" s="476"/>
      <c r="N9" s="476"/>
      <c r="O9" s="477"/>
      <c r="P9" s="101"/>
      <c r="Q9" s="99"/>
      <c r="R9" s="475" t="s">
        <v>235</v>
      </c>
      <c r="S9" s="476"/>
      <c r="T9" s="476"/>
      <c r="U9" s="476"/>
      <c r="V9" s="476"/>
      <c r="W9" s="477"/>
      <c r="X9" s="101"/>
    </row>
    <row r="10" spans="1:24" ht="15.75" thickBot="1" x14ac:dyDescent="0.3">
      <c r="A10" s="99"/>
      <c r="B10" s="478" t="s">
        <v>228</v>
      </c>
      <c r="C10" s="480" t="s">
        <v>229</v>
      </c>
      <c r="D10" s="482" t="s">
        <v>230</v>
      </c>
      <c r="E10" s="483"/>
      <c r="F10" s="483"/>
      <c r="G10" s="484"/>
      <c r="H10" s="102"/>
      <c r="I10" s="411"/>
      <c r="J10" s="478" t="s">
        <v>228</v>
      </c>
      <c r="K10" s="480" t="s">
        <v>229</v>
      </c>
      <c r="L10" s="482" t="s">
        <v>230</v>
      </c>
      <c r="M10" s="483"/>
      <c r="N10" s="483"/>
      <c r="O10" s="484"/>
      <c r="P10" s="101"/>
      <c r="Q10" s="99"/>
      <c r="R10" s="478" t="s">
        <v>228</v>
      </c>
      <c r="S10" s="480" t="s">
        <v>229</v>
      </c>
      <c r="T10" s="482" t="s">
        <v>230</v>
      </c>
      <c r="U10" s="483"/>
      <c r="V10" s="483"/>
      <c r="W10" s="484"/>
      <c r="X10" s="101"/>
    </row>
    <row r="11" spans="1:24" ht="15.75" thickBot="1" x14ac:dyDescent="0.3">
      <c r="A11" s="99"/>
      <c r="B11" s="479"/>
      <c r="C11" s="481"/>
      <c r="D11" s="379" t="s">
        <v>43</v>
      </c>
      <c r="E11" s="380" t="s">
        <v>54</v>
      </c>
      <c r="F11" s="381" t="s">
        <v>55</v>
      </c>
      <c r="G11" s="382" t="s">
        <v>56</v>
      </c>
      <c r="H11" s="407"/>
      <c r="I11" s="412"/>
      <c r="J11" s="504"/>
      <c r="K11" s="505"/>
      <c r="L11" s="506" t="s">
        <v>43</v>
      </c>
      <c r="M11" s="507" t="s">
        <v>54</v>
      </c>
      <c r="N11" s="508" t="s">
        <v>55</v>
      </c>
      <c r="O11" s="509" t="s">
        <v>56</v>
      </c>
      <c r="P11" s="101"/>
      <c r="Q11" s="99"/>
      <c r="R11" s="479"/>
      <c r="S11" s="481"/>
      <c r="T11" s="379" t="s">
        <v>43</v>
      </c>
      <c r="U11" s="380" t="s">
        <v>54</v>
      </c>
      <c r="V11" s="381" t="s">
        <v>55</v>
      </c>
      <c r="W11" s="382" t="s">
        <v>56</v>
      </c>
      <c r="X11" s="101"/>
    </row>
    <row r="12" spans="1:24" x14ac:dyDescent="0.25">
      <c r="A12" s="99"/>
      <c r="B12" s="370">
        <v>0</v>
      </c>
      <c r="C12" s="472"/>
      <c r="D12" s="20"/>
      <c r="E12" s="226"/>
      <c r="F12" s="226"/>
      <c r="G12" s="378"/>
      <c r="H12" s="101"/>
      <c r="I12" s="99"/>
      <c r="J12" s="370">
        <v>0</v>
      </c>
      <c r="K12" s="616"/>
      <c r="L12" s="4"/>
      <c r="M12" s="314"/>
      <c r="N12" s="314"/>
      <c r="O12" s="315"/>
      <c r="P12" s="101"/>
      <c r="Q12" s="99"/>
      <c r="R12" s="388">
        <v>0</v>
      </c>
      <c r="S12" s="388"/>
      <c r="T12" s="635"/>
      <c r="U12" s="636"/>
      <c r="V12" s="636"/>
      <c r="W12" s="637"/>
      <c r="X12" s="101"/>
    </row>
    <row r="13" spans="1:24" x14ac:dyDescent="0.25">
      <c r="A13" s="99"/>
      <c r="B13" s="371">
        <v>30</v>
      </c>
      <c r="C13" s="473"/>
      <c r="D13" s="387">
        <f>$C$3*B13/60</f>
        <v>0.92500000000000004</v>
      </c>
      <c r="E13" s="362">
        <f>$C$4*B13/60</f>
        <v>0.78749999999999998</v>
      </c>
      <c r="F13" s="362">
        <f>$C$5*B13/60</f>
        <v>0.6875</v>
      </c>
      <c r="G13" s="113">
        <f>$C$6*B13/60</f>
        <v>0.5625</v>
      </c>
      <c r="H13" s="101"/>
      <c r="I13" s="99"/>
      <c r="J13" s="371">
        <v>30</v>
      </c>
      <c r="K13" s="617"/>
      <c r="L13" s="619">
        <f>$K$3/60*J13</f>
        <v>0.72499999999999998</v>
      </c>
      <c r="M13" s="620">
        <f>$K$4/60*J13</f>
        <v>0.58750000000000002</v>
      </c>
      <c r="N13" s="620">
        <f>$K$5/60*J13</f>
        <v>0.48750000000000004</v>
      </c>
      <c r="O13" s="621">
        <f>$K$6/60*J13</f>
        <v>0.38750000000000001</v>
      </c>
      <c r="P13" s="101"/>
      <c r="Q13" s="99"/>
      <c r="R13" s="371">
        <v>30</v>
      </c>
      <c r="S13" s="371"/>
      <c r="T13" s="387">
        <f>$S$3/60*R13</f>
        <v>0.67500000000000004</v>
      </c>
      <c r="U13" s="364">
        <f>$S$4/60*R13</f>
        <v>0.5625</v>
      </c>
      <c r="V13" s="364">
        <f>$S$5/60*R13</f>
        <v>0.47499999999999992</v>
      </c>
      <c r="W13" s="511">
        <f>$S$6/60*R13</f>
        <v>0.36249999999999999</v>
      </c>
      <c r="X13" s="101"/>
    </row>
    <row r="14" spans="1:24" x14ac:dyDescent="0.25">
      <c r="A14" s="99"/>
      <c r="B14" s="371">
        <v>60</v>
      </c>
      <c r="C14" s="473"/>
      <c r="D14" s="387">
        <f t="shared" ref="D14:D16" si="6">$C$3*B14/60</f>
        <v>1.85</v>
      </c>
      <c r="E14" s="362">
        <f t="shared" ref="E14:E18" si="7">$C$4*B14/60</f>
        <v>1.575</v>
      </c>
      <c r="F14" s="362">
        <f t="shared" ref="F14:F27" si="8">$C$5*B14/60</f>
        <v>1.375</v>
      </c>
      <c r="G14" s="113">
        <f t="shared" ref="G14:G29" si="9">$C$6*B14/60</f>
        <v>1.125</v>
      </c>
      <c r="H14" s="101"/>
      <c r="I14" s="99"/>
      <c r="J14" s="371">
        <v>60</v>
      </c>
      <c r="K14" s="617"/>
      <c r="L14" s="619">
        <f t="shared" ref="L14:L19" si="10">$K$3/60*J14</f>
        <v>1.45</v>
      </c>
      <c r="M14" s="620">
        <f t="shared" ref="M14:M21" si="11">$K$4/60*J14</f>
        <v>1.175</v>
      </c>
      <c r="N14" s="620">
        <f t="shared" ref="N14:N33" si="12">$K$5/60*J14</f>
        <v>0.97500000000000009</v>
      </c>
      <c r="O14" s="621">
        <f t="shared" ref="O14:O35" si="13">$K$6/60*J14</f>
        <v>0.77500000000000002</v>
      </c>
      <c r="P14" s="101"/>
      <c r="Q14" s="99"/>
      <c r="R14" s="371">
        <v>60</v>
      </c>
      <c r="S14" s="371"/>
      <c r="T14" s="387">
        <f t="shared" ref="T14:T22" si="14">$S$3/60*R14</f>
        <v>1.35</v>
      </c>
      <c r="U14" s="364">
        <f t="shared" ref="U14:U22" si="15">$S$4/60*R14</f>
        <v>1.125</v>
      </c>
      <c r="V14" s="364">
        <f t="shared" ref="V14:V38" si="16">$S$5/60*R14</f>
        <v>0.94999999999999984</v>
      </c>
      <c r="W14" s="511">
        <f t="shared" ref="W14:W38" si="17">$S$6/60*R14</f>
        <v>0.72499999999999998</v>
      </c>
      <c r="X14" s="101"/>
    </row>
    <row r="15" spans="1:24" x14ac:dyDescent="0.25">
      <c r="A15" s="99"/>
      <c r="B15" s="371">
        <v>90</v>
      </c>
      <c r="C15" s="473"/>
      <c r="D15" s="387">
        <f t="shared" si="6"/>
        <v>2.7749999999999999</v>
      </c>
      <c r="E15" s="362">
        <f t="shared" si="7"/>
        <v>2.3624999999999998</v>
      </c>
      <c r="F15" s="362">
        <f t="shared" si="8"/>
        <v>2.0625</v>
      </c>
      <c r="G15" s="113">
        <f t="shared" si="9"/>
        <v>1.6875</v>
      </c>
      <c r="H15" s="101"/>
      <c r="I15" s="99"/>
      <c r="J15" s="371">
        <v>90</v>
      </c>
      <c r="K15" s="617"/>
      <c r="L15" s="619">
        <f t="shared" si="10"/>
        <v>2.1749999999999998</v>
      </c>
      <c r="M15" s="620">
        <f t="shared" si="11"/>
        <v>1.7625000000000002</v>
      </c>
      <c r="N15" s="620">
        <f t="shared" si="12"/>
        <v>1.4625000000000001</v>
      </c>
      <c r="O15" s="621">
        <f t="shared" si="13"/>
        <v>1.1625000000000001</v>
      </c>
      <c r="P15" s="101"/>
      <c r="Q15" s="99"/>
      <c r="R15" s="371">
        <v>90</v>
      </c>
      <c r="S15" s="371"/>
      <c r="T15" s="387">
        <f t="shared" si="14"/>
        <v>2.0250000000000004</v>
      </c>
      <c r="U15" s="364">
        <f t="shared" si="15"/>
        <v>1.6875</v>
      </c>
      <c r="V15" s="364">
        <f t="shared" si="16"/>
        <v>1.4249999999999998</v>
      </c>
      <c r="W15" s="511">
        <f t="shared" si="17"/>
        <v>1.0874999999999999</v>
      </c>
      <c r="X15" s="101"/>
    </row>
    <row r="16" spans="1:24" x14ac:dyDescent="0.25">
      <c r="A16" s="99"/>
      <c r="B16" s="371">
        <v>120</v>
      </c>
      <c r="C16" s="474"/>
      <c r="D16" s="387">
        <f t="shared" si="6"/>
        <v>3.7</v>
      </c>
      <c r="E16" s="362">
        <f t="shared" si="7"/>
        <v>3.15</v>
      </c>
      <c r="F16" s="362">
        <f t="shared" si="8"/>
        <v>2.75</v>
      </c>
      <c r="G16" s="113">
        <f t="shared" si="9"/>
        <v>2.25</v>
      </c>
      <c r="H16" s="101"/>
      <c r="I16" s="99"/>
      <c r="J16" s="371">
        <v>120</v>
      </c>
      <c r="K16" s="617"/>
      <c r="L16" s="619">
        <f t="shared" si="10"/>
        <v>2.9</v>
      </c>
      <c r="M16" s="620">
        <f t="shared" si="11"/>
        <v>2.35</v>
      </c>
      <c r="N16" s="620">
        <f t="shared" si="12"/>
        <v>1.9500000000000002</v>
      </c>
      <c r="O16" s="621">
        <f t="shared" si="13"/>
        <v>1.55</v>
      </c>
      <c r="P16" s="101"/>
      <c r="Q16" s="99"/>
      <c r="R16" s="371">
        <v>120</v>
      </c>
      <c r="S16" s="371"/>
      <c r="T16" s="387">
        <f t="shared" si="14"/>
        <v>2.7</v>
      </c>
      <c r="U16" s="364">
        <f t="shared" si="15"/>
        <v>2.25</v>
      </c>
      <c r="V16" s="364">
        <f t="shared" si="16"/>
        <v>1.8999999999999997</v>
      </c>
      <c r="W16" s="511">
        <f t="shared" si="17"/>
        <v>1.45</v>
      </c>
      <c r="X16" s="101"/>
    </row>
    <row r="17" spans="1:24" x14ac:dyDescent="0.25">
      <c r="A17" s="99"/>
      <c r="B17" s="371">
        <v>150</v>
      </c>
      <c r="C17" s="490" t="s">
        <v>231</v>
      </c>
      <c r="D17" s="383">
        <f>C3*B17/60</f>
        <v>4.625</v>
      </c>
      <c r="E17" s="362">
        <f t="shared" si="7"/>
        <v>3.9375</v>
      </c>
      <c r="F17" s="362">
        <f t="shared" si="8"/>
        <v>3.4375</v>
      </c>
      <c r="G17" s="113">
        <f t="shared" si="9"/>
        <v>2.8125</v>
      </c>
      <c r="H17" s="101"/>
      <c r="I17" s="99"/>
      <c r="J17" s="392">
        <v>150</v>
      </c>
      <c r="K17" s="617"/>
      <c r="L17" s="619">
        <f t="shared" si="10"/>
        <v>3.625</v>
      </c>
      <c r="M17" s="620">
        <f t="shared" si="11"/>
        <v>2.9375</v>
      </c>
      <c r="N17" s="620">
        <f t="shared" si="12"/>
        <v>2.4375</v>
      </c>
      <c r="O17" s="621">
        <f t="shared" si="13"/>
        <v>1.9375</v>
      </c>
      <c r="P17" s="101"/>
      <c r="Q17" s="99"/>
      <c r="R17" s="371">
        <v>150</v>
      </c>
      <c r="S17" s="371"/>
      <c r="T17" s="387">
        <f t="shared" si="14"/>
        <v>3.3750000000000004</v>
      </c>
      <c r="U17" s="364">
        <f t="shared" si="15"/>
        <v>2.8125</v>
      </c>
      <c r="V17" s="364">
        <f t="shared" si="16"/>
        <v>2.3749999999999996</v>
      </c>
      <c r="W17" s="511">
        <f t="shared" si="17"/>
        <v>1.8125</v>
      </c>
      <c r="X17" s="101"/>
    </row>
    <row r="18" spans="1:24" x14ac:dyDescent="0.25">
      <c r="A18" s="99"/>
      <c r="B18" s="371">
        <v>180</v>
      </c>
      <c r="C18" s="491"/>
      <c r="D18" s="383">
        <v>0</v>
      </c>
      <c r="E18" s="362">
        <f t="shared" si="7"/>
        <v>4.7249999999999996</v>
      </c>
      <c r="F18" s="362">
        <f t="shared" si="8"/>
        <v>4.125</v>
      </c>
      <c r="G18" s="113">
        <f t="shared" si="9"/>
        <v>3.375</v>
      </c>
      <c r="H18" s="101"/>
      <c r="I18" s="99"/>
      <c r="J18" s="392">
        <v>180</v>
      </c>
      <c r="K18" s="618"/>
      <c r="L18" s="619">
        <f t="shared" si="10"/>
        <v>4.3499999999999996</v>
      </c>
      <c r="M18" s="620">
        <f t="shared" si="11"/>
        <v>3.5250000000000004</v>
      </c>
      <c r="N18" s="620">
        <f t="shared" si="12"/>
        <v>2.9250000000000003</v>
      </c>
      <c r="O18" s="621">
        <f t="shared" si="13"/>
        <v>2.3250000000000002</v>
      </c>
      <c r="P18" s="101"/>
      <c r="Q18" s="99"/>
      <c r="R18" s="392">
        <v>180</v>
      </c>
      <c r="S18" s="371"/>
      <c r="T18" s="619">
        <f t="shared" si="14"/>
        <v>4.0500000000000007</v>
      </c>
      <c r="U18" s="620">
        <f t="shared" si="15"/>
        <v>3.375</v>
      </c>
      <c r="V18" s="620">
        <f t="shared" si="16"/>
        <v>2.8499999999999996</v>
      </c>
      <c r="W18" s="621">
        <f t="shared" si="17"/>
        <v>2.1749999999999998</v>
      </c>
      <c r="X18" s="101"/>
    </row>
    <row r="19" spans="1:24" x14ac:dyDescent="0.25">
      <c r="A19" s="99"/>
      <c r="B19" s="371">
        <v>180</v>
      </c>
      <c r="C19" s="468" t="s">
        <v>232</v>
      </c>
      <c r="D19" s="5">
        <f>$C$3/60*(B19-180)</f>
        <v>0</v>
      </c>
      <c r="E19" s="384">
        <f>C4*B19/60</f>
        <v>4.7249999999999996</v>
      </c>
      <c r="F19" s="362">
        <f t="shared" si="8"/>
        <v>4.125</v>
      </c>
      <c r="G19" s="113">
        <f t="shared" si="9"/>
        <v>3.375</v>
      </c>
      <c r="H19" s="101"/>
      <c r="I19" s="99"/>
      <c r="J19" s="392">
        <v>210</v>
      </c>
      <c r="K19" s="490" t="s">
        <v>231</v>
      </c>
      <c r="L19" s="503">
        <f t="shared" si="10"/>
        <v>5.0750000000000002</v>
      </c>
      <c r="M19" s="620">
        <f t="shared" si="11"/>
        <v>4.1124999999999998</v>
      </c>
      <c r="N19" s="620">
        <f t="shared" si="12"/>
        <v>3.4125000000000001</v>
      </c>
      <c r="O19" s="621">
        <f t="shared" si="13"/>
        <v>2.7124999999999999</v>
      </c>
      <c r="P19" s="101"/>
      <c r="Q19" s="99"/>
      <c r="R19" s="392">
        <v>210</v>
      </c>
      <c r="S19" s="493" t="s">
        <v>231</v>
      </c>
      <c r="T19" s="503">
        <f t="shared" si="14"/>
        <v>4.7250000000000005</v>
      </c>
      <c r="U19" s="620">
        <f t="shared" si="15"/>
        <v>3.9375</v>
      </c>
      <c r="V19" s="620">
        <f t="shared" si="16"/>
        <v>3.3249999999999997</v>
      </c>
      <c r="W19" s="621">
        <f t="shared" si="17"/>
        <v>2.5375000000000001</v>
      </c>
      <c r="X19" s="101"/>
    </row>
    <row r="20" spans="1:24" x14ac:dyDescent="0.25">
      <c r="A20" s="99"/>
      <c r="B20" s="371">
        <v>210</v>
      </c>
      <c r="C20" s="468"/>
      <c r="D20" s="5">
        <f t="shared" ref="D20:D23" si="18">$C$3/60*(B20-180)</f>
        <v>0.92500000000000004</v>
      </c>
      <c r="E20" s="384">
        <v>0</v>
      </c>
      <c r="F20" s="362">
        <f t="shared" si="8"/>
        <v>4.8125</v>
      </c>
      <c r="G20" s="113">
        <f t="shared" si="9"/>
        <v>3.9375</v>
      </c>
      <c r="H20" s="101"/>
      <c r="I20" s="99"/>
      <c r="J20" s="392">
        <v>240</v>
      </c>
      <c r="K20" s="491"/>
      <c r="L20" s="503">
        <v>0</v>
      </c>
      <c r="M20" s="620">
        <f t="shared" si="11"/>
        <v>4.7</v>
      </c>
      <c r="N20" s="620">
        <f t="shared" si="12"/>
        <v>3.9000000000000004</v>
      </c>
      <c r="O20" s="621">
        <f t="shared" si="13"/>
        <v>3.1</v>
      </c>
      <c r="P20" s="101"/>
      <c r="Q20" s="99"/>
      <c r="R20" s="392">
        <v>240</v>
      </c>
      <c r="S20" s="493"/>
      <c r="T20" s="634">
        <v>0</v>
      </c>
      <c r="U20" s="620">
        <f t="shared" si="15"/>
        <v>4.5</v>
      </c>
      <c r="V20" s="620">
        <f t="shared" si="16"/>
        <v>3.7999999999999994</v>
      </c>
      <c r="W20" s="621">
        <f t="shared" si="17"/>
        <v>2.9</v>
      </c>
      <c r="X20" s="101"/>
    </row>
    <row r="21" spans="1:24" x14ac:dyDescent="0.25">
      <c r="A21" s="99"/>
      <c r="B21" s="371">
        <v>240</v>
      </c>
      <c r="C21" s="492"/>
      <c r="D21" s="5">
        <f t="shared" si="18"/>
        <v>1.85</v>
      </c>
      <c r="E21" s="362">
        <f>$C$4/60*(B21-210)</f>
        <v>0.78749999999999998</v>
      </c>
      <c r="F21" s="362">
        <f t="shared" si="8"/>
        <v>5.5</v>
      </c>
      <c r="G21" s="113">
        <f t="shared" si="9"/>
        <v>4.5</v>
      </c>
      <c r="H21" s="101"/>
      <c r="I21" s="99"/>
      <c r="J21" s="392">
        <v>240</v>
      </c>
      <c r="K21" s="468" t="s">
        <v>232</v>
      </c>
      <c r="L21" s="619">
        <f>$K$3/60*(J21-240)</f>
        <v>0</v>
      </c>
      <c r="M21" s="510">
        <f t="shared" si="11"/>
        <v>4.7</v>
      </c>
      <c r="N21" s="620">
        <f t="shared" si="12"/>
        <v>3.9000000000000004</v>
      </c>
      <c r="O21" s="621">
        <f t="shared" si="13"/>
        <v>3.1</v>
      </c>
      <c r="P21" s="101"/>
      <c r="Q21" s="99"/>
      <c r="R21" s="392">
        <v>240</v>
      </c>
      <c r="S21" s="468" t="s">
        <v>232</v>
      </c>
      <c r="T21" s="619">
        <f>$S$3/60*(R21-240)</f>
        <v>0</v>
      </c>
      <c r="U21" s="510">
        <f t="shared" si="15"/>
        <v>4.5</v>
      </c>
      <c r="V21" s="620">
        <f t="shared" si="16"/>
        <v>3.7999999999999994</v>
      </c>
      <c r="W21" s="621">
        <f t="shared" si="17"/>
        <v>2.9</v>
      </c>
      <c r="X21" s="101"/>
    </row>
    <row r="22" spans="1:24" x14ac:dyDescent="0.25">
      <c r="A22" s="99"/>
      <c r="B22" s="371">
        <v>270</v>
      </c>
      <c r="C22" s="473"/>
      <c r="D22" s="5">
        <f t="shared" si="18"/>
        <v>2.7749999999999999</v>
      </c>
      <c r="E22" s="362">
        <f t="shared" ref="E22:E25" si="19">$C$4/60*(B22-210)</f>
        <v>1.575</v>
      </c>
      <c r="F22" s="362">
        <f t="shared" si="8"/>
        <v>6.1875</v>
      </c>
      <c r="G22" s="113">
        <f t="shared" si="9"/>
        <v>5.0625</v>
      </c>
      <c r="H22" s="101"/>
      <c r="I22" s="99"/>
      <c r="J22" s="392">
        <v>270</v>
      </c>
      <c r="K22" s="468"/>
      <c r="L22" s="619">
        <f t="shared" ref="L22:L29" si="20">$K$3/60*(J22-240)</f>
        <v>0.72499999999999998</v>
      </c>
      <c r="M22" s="510">
        <v>0</v>
      </c>
      <c r="N22" s="620">
        <f t="shared" si="12"/>
        <v>4.3875000000000002</v>
      </c>
      <c r="O22" s="621">
        <f t="shared" si="13"/>
        <v>3.4874999999999998</v>
      </c>
      <c r="P22" s="101"/>
      <c r="Q22" s="99"/>
      <c r="R22" s="392">
        <v>270</v>
      </c>
      <c r="S22" s="468"/>
      <c r="T22" s="619">
        <f t="shared" ref="T22:T30" si="21">$S$3/60*(R22-240)</f>
        <v>0.67500000000000004</v>
      </c>
      <c r="U22" s="510">
        <v>0</v>
      </c>
      <c r="V22" s="620">
        <f t="shared" si="16"/>
        <v>4.2749999999999995</v>
      </c>
      <c r="W22" s="621">
        <f t="shared" si="17"/>
        <v>3.2624999999999997</v>
      </c>
      <c r="X22" s="101"/>
    </row>
    <row r="23" spans="1:24" x14ac:dyDescent="0.25">
      <c r="A23" s="99"/>
      <c r="B23" s="371">
        <v>300</v>
      </c>
      <c r="C23" s="474"/>
      <c r="D23" s="5">
        <f t="shared" si="18"/>
        <v>3.7</v>
      </c>
      <c r="E23" s="362">
        <f t="shared" si="19"/>
        <v>2.3624999999999998</v>
      </c>
      <c r="F23" s="362">
        <f t="shared" si="8"/>
        <v>6.875</v>
      </c>
      <c r="G23" s="113">
        <f t="shared" si="9"/>
        <v>5.625</v>
      </c>
      <c r="H23" s="101"/>
      <c r="I23" s="99"/>
      <c r="J23" s="392">
        <v>300</v>
      </c>
      <c r="K23" s="629"/>
      <c r="L23" s="619">
        <f t="shared" si="20"/>
        <v>1.45</v>
      </c>
      <c r="M23" s="620">
        <f>$K$4/60*(J23-270)</f>
        <v>0.58750000000000002</v>
      </c>
      <c r="N23" s="620">
        <f t="shared" si="12"/>
        <v>4.875</v>
      </c>
      <c r="O23" s="621">
        <f t="shared" si="13"/>
        <v>3.875</v>
      </c>
      <c r="P23" s="101"/>
      <c r="Q23" s="99"/>
      <c r="R23" s="392">
        <v>300</v>
      </c>
      <c r="S23" s="371"/>
      <c r="T23" s="619">
        <f t="shared" si="21"/>
        <v>1.35</v>
      </c>
      <c r="U23" s="620">
        <f>$S$4/60*(R23-270)</f>
        <v>0.5625</v>
      </c>
      <c r="V23" s="620">
        <f t="shared" si="16"/>
        <v>4.7499999999999991</v>
      </c>
      <c r="W23" s="621">
        <f t="shared" si="17"/>
        <v>3.625</v>
      </c>
      <c r="X23" s="101"/>
    </row>
    <row r="24" spans="1:24" x14ac:dyDescent="0.25">
      <c r="A24" s="99"/>
      <c r="B24" s="371">
        <v>330</v>
      </c>
      <c r="C24" s="493" t="s">
        <v>231</v>
      </c>
      <c r="D24" s="384">
        <f>C3/60*(B24-B18)</f>
        <v>4.625</v>
      </c>
      <c r="E24" s="362">
        <f t="shared" si="19"/>
        <v>3.15</v>
      </c>
      <c r="F24" s="362">
        <f t="shared" si="8"/>
        <v>7.5625</v>
      </c>
      <c r="G24" s="113">
        <f t="shared" si="9"/>
        <v>6.1875</v>
      </c>
      <c r="H24" s="101"/>
      <c r="I24" s="99"/>
      <c r="J24" s="392">
        <v>330</v>
      </c>
      <c r="K24" s="617"/>
      <c r="L24" s="619">
        <f t="shared" si="20"/>
        <v>2.1749999999999998</v>
      </c>
      <c r="M24" s="620">
        <f t="shared" ref="M24:M31" si="22">$K$4/60*(J24-270)</f>
        <v>1.175</v>
      </c>
      <c r="N24" s="620">
        <f t="shared" si="12"/>
        <v>5.3624999999999998</v>
      </c>
      <c r="O24" s="621">
        <f t="shared" si="13"/>
        <v>4.2625000000000002</v>
      </c>
      <c r="P24" s="101"/>
      <c r="Q24" s="99"/>
      <c r="R24" s="392">
        <v>330</v>
      </c>
      <c r="S24" s="371"/>
      <c r="T24" s="619">
        <f t="shared" si="21"/>
        <v>2.0250000000000004</v>
      </c>
      <c r="U24" s="620">
        <f t="shared" ref="U24:U32" si="23">$S$4/60*(R24-270)</f>
        <v>1.125</v>
      </c>
      <c r="V24" s="620">
        <f t="shared" si="16"/>
        <v>5.2249999999999996</v>
      </c>
      <c r="W24" s="621">
        <f t="shared" si="17"/>
        <v>3.9874999999999998</v>
      </c>
      <c r="X24" s="101"/>
    </row>
    <row r="25" spans="1:24" x14ac:dyDescent="0.25">
      <c r="A25" s="99"/>
      <c r="B25" s="371">
        <v>360</v>
      </c>
      <c r="C25" s="493"/>
      <c r="D25" s="384">
        <v>0</v>
      </c>
      <c r="E25" s="362">
        <f t="shared" si="19"/>
        <v>3.9375</v>
      </c>
      <c r="F25" s="362">
        <f t="shared" si="8"/>
        <v>8.25</v>
      </c>
      <c r="G25" s="113">
        <f t="shared" si="9"/>
        <v>6.75</v>
      </c>
      <c r="H25" s="101"/>
      <c r="I25" s="99"/>
      <c r="J25" s="392">
        <v>360</v>
      </c>
      <c r="K25" s="617"/>
      <c r="L25" s="619">
        <f t="shared" si="20"/>
        <v>2.9</v>
      </c>
      <c r="M25" s="620">
        <f t="shared" si="22"/>
        <v>1.7625000000000002</v>
      </c>
      <c r="N25" s="620">
        <f t="shared" si="12"/>
        <v>5.8500000000000005</v>
      </c>
      <c r="O25" s="621">
        <f t="shared" si="13"/>
        <v>4.6500000000000004</v>
      </c>
      <c r="P25" s="101"/>
      <c r="Q25" s="99"/>
      <c r="R25" s="392">
        <v>360</v>
      </c>
      <c r="S25" s="371"/>
      <c r="T25" s="619">
        <f t="shared" si="21"/>
        <v>2.7</v>
      </c>
      <c r="U25" s="620">
        <f t="shared" si="23"/>
        <v>1.6875</v>
      </c>
      <c r="V25" s="620">
        <f t="shared" si="16"/>
        <v>5.6999999999999993</v>
      </c>
      <c r="W25" s="621">
        <f t="shared" si="17"/>
        <v>4.3499999999999996</v>
      </c>
      <c r="X25" s="101"/>
    </row>
    <row r="26" spans="1:24" x14ac:dyDescent="0.25">
      <c r="A26" s="99"/>
      <c r="B26" s="371">
        <v>360</v>
      </c>
      <c r="C26" s="468" t="s">
        <v>232</v>
      </c>
      <c r="D26" s="5">
        <f>$C$3/60*(B26-360)</f>
        <v>0</v>
      </c>
      <c r="E26" s="384">
        <f>C4/60*(B26-B20)</f>
        <v>3.9375</v>
      </c>
      <c r="F26" s="362">
        <f t="shared" si="8"/>
        <v>8.25</v>
      </c>
      <c r="G26" s="113">
        <f t="shared" si="9"/>
        <v>6.75</v>
      </c>
      <c r="H26" s="101"/>
      <c r="I26" s="99"/>
      <c r="J26" s="392">
        <v>390</v>
      </c>
      <c r="K26" s="617"/>
      <c r="L26" s="619">
        <f t="shared" si="20"/>
        <v>3.625</v>
      </c>
      <c r="M26" s="620">
        <f t="shared" si="22"/>
        <v>2.35</v>
      </c>
      <c r="N26" s="620">
        <f t="shared" si="12"/>
        <v>6.3375000000000004</v>
      </c>
      <c r="O26" s="621">
        <f t="shared" si="13"/>
        <v>5.0374999999999996</v>
      </c>
      <c r="P26" s="101"/>
      <c r="Q26" s="99"/>
      <c r="R26" s="392">
        <v>390</v>
      </c>
      <c r="S26" s="371"/>
      <c r="T26" s="619">
        <f t="shared" si="21"/>
        <v>3.3750000000000004</v>
      </c>
      <c r="U26" s="620">
        <f t="shared" si="23"/>
        <v>2.25</v>
      </c>
      <c r="V26" s="620">
        <f t="shared" si="16"/>
        <v>6.1749999999999989</v>
      </c>
      <c r="W26" s="621">
        <f t="shared" si="17"/>
        <v>4.7124999999999995</v>
      </c>
      <c r="X26" s="101"/>
    </row>
    <row r="27" spans="1:24" x14ac:dyDescent="0.25">
      <c r="A27" s="99"/>
      <c r="B27" s="371">
        <v>390</v>
      </c>
      <c r="C27" s="468"/>
      <c r="D27" s="5">
        <f t="shared" ref="D27:D34" si="24">$C$3/60*(B27-360)</f>
        <v>0.92500000000000004</v>
      </c>
      <c r="E27" s="384">
        <v>0</v>
      </c>
      <c r="F27" s="362">
        <f t="shared" si="8"/>
        <v>8.9375</v>
      </c>
      <c r="G27" s="113">
        <f t="shared" si="9"/>
        <v>7.3125</v>
      </c>
      <c r="H27" s="101"/>
      <c r="I27" s="99"/>
      <c r="J27" s="392">
        <v>420</v>
      </c>
      <c r="K27" s="617"/>
      <c r="L27" s="619">
        <f t="shared" si="20"/>
        <v>4.3499999999999996</v>
      </c>
      <c r="M27" s="620">
        <f t="shared" si="22"/>
        <v>2.9375</v>
      </c>
      <c r="N27" s="620">
        <f t="shared" si="12"/>
        <v>6.8250000000000002</v>
      </c>
      <c r="O27" s="621">
        <f t="shared" si="13"/>
        <v>5.4249999999999998</v>
      </c>
      <c r="P27" s="101"/>
      <c r="Q27" s="99"/>
      <c r="R27" s="392">
        <v>420</v>
      </c>
      <c r="S27" s="371"/>
      <c r="T27" s="619">
        <f t="shared" si="21"/>
        <v>4.0500000000000007</v>
      </c>
      <c r="U27" s="620">
        <f t="shared" si="23"/>
        <v>2.8125</v>
      </c>
      <c r="V27" s="620">
        <f t="shared" si="16"/>
        <v>6.6499999999999995</v>
      </c>
      <c r="W27" s="621">
        <f t="shared" si="17"/>
        <v>5.0750000000000002</v>
      </c>
      <c r="X27" s="101"/>
    </row>
    <row r="28" spans="1:24" x14ac:dyDescent="0.25">
      <c r="A28" s="99"/>
      <c r="B28" s="371">
        <v>390</v>
      </c>
      <c r="C28" s="469" t="s">
        <v>233</v>
      </c>
      <c r="D28" s="5">
        <f t="shared" si="24"/>
        <v>0.92500000000000004</v>
      </c>
      <c r="E28" s="362">
        <f>$C$4/60*(B28-390)</f>
        <v>0</v>
      </c>
      <c r="F28" s="384">
        <f>C5/60*B28</f>
        <v>8.9375</v>
      </c>
      <c r="G28" s="113">
        <f t="shared" si="9"/>
        <v>7.3125</v>
      </c>
      <c r="H28" s="101"/>
      <c r="I28" s="99"/>
      <c r="J28" s="392">
        <v>450</v>
      </c>
      <c r="K28" s="618"/>
      <c r="L28" s="619">
        <f t="shared" si="20"/>
        <v>5.0750000000000002</v>
      </c>
      <c r="M28" s="620">
        <f t="shared" si="22"/>
        <v>3.5250000000000004</v>
      </c>
      <c r="N28" s="620">
        <f t="shared" si="12"/>
        <v>7.3125</v>
      </c>
      <c r="O28" s="621">
        <f t="shared" si="13"/>
        <v>5.8125</v>
      </c>
      <c r="P28" s="101"/>
      <c r="Q28" s="99"/>
      <c r="R28" s="392">
        <v>450</v>
      </c>
      <c r="S28" s="371"/>
      <c r="T28" s="619">
        <f t="shared" si="21"/>
        <v>4.7250000000000005</v>
      </c>
      <c r="U28" s="620">
        <f t="shared" si="23"/>
        <v>3.375</v>
      </c>
      <c r="V28" s="620">
        <f t="shared" si="16"/>
        <v>7.1249999999999991</v>
      </c>
      <c r="W28" s="621">
        <f t="shared" si="17"/>
        <v>5.4375</v>
      </c>
      <c r="X28" s="101"/>
    </row>
    <row r="29" spans="1:24" x14ac:dyDescent="0.25">
      <c r="A29" s="99"/>
      <c r="B29" s="371">
        <v>420</v>
      </c>
      <c r="C29" s="469"/>
      <c r="D29" s="5">
        <f t="shared" si="24"/>
        <v>1.85</v>
      </c>
      <c r="E29" s="362">
        <f t="shared" ref="E29:E36" si="25">$C$4/60*(B29-390)</f>
        <v>0.78749999999999998</v>
      </c>
      <c r="F29" s="384">
        <v>0</v>
      </c>
      <c r="G29" s="113">
        <f t="shared" si="9"/>
        <v>7.875</v>
      </c>
      <c r="H29" s="101"/>
      <c r="I29" s="99"/>
      <c r="J29" s="392">
        <v>480</v>
      </c>
      <c r="K29" s="493" t="s">
        <v>231</v>
      </c>
      <c r="L29" s="503">
        <f t="shared" si="20"/>
        <v>5.8</v>
      </c>
      <c r="M29" s="620">
        <f t="shared" si="22"/>
        <v>4.1124999999999998</v>
      </c>
      <c r="N29" s="620">
        <f t="shared" si="12"/>
        <v>7.8000000000000007</v>
      </c>
      <c r="O29" s="621">
        <f t="shared" si="13"/>
        <v>6.2</v>
      </c>
      <c r="P29" s="101"/>
      <c r="Q29" s="99"/>
      <c r="R29" s="392">
        <v>480</v>
      </c>
      <c r="S29" s="371"/>
      <c r="T29" s="619">
        <f t="shared" si="21"/>
        <v>5.4</v>
      </c>
      <c r="U29" s="620">
        <f t="shared" si="23"/>
        <v>3.9375</v>
      </c>
      <c r="V29" s="620">
        <f t="shared" si="16"/>
        <v>7.5999999999999988</v>
      </c>
      <c r="W29" s="621">
        <f t="shared" si="17"/>
        <v>5.8</v>
      </c>
      <c r="X29" s="101"/>
    </row>
    <row r="30" spans="1:24" x14ac:dyDescent="0.25">
      <c r="A30" s="99"/>
      <c r="B30" s="371">
        <v>420</v>
      </c>
      <c r="C30" s="470" t="s">
        <v>234</v>
      </c>
      <c r="D30" s="5">
        <f t="shared" si="24"/>
        <v>1.85</v>
      </c>
      <c r="E30" s="362">
        <f t="shared" si="25"/>
        <v>0.78749999999999998</v>
      </c>
      <c r="F30" s="362">
        <f>$C$5/60*(B30-420)</f>
        <v>0</v>
      </c>
      <c r="G30" s="385">
        <f>C6/60*B30</f>
        <v>7.875</v>
      </c>
      <c r="H30" s="101"/>
      <c r="I30" s="99"/>
      <c r="J30" s="392">
        <v>510</v>
      </c>
      <c r="K30" s="493"/>
      <c r="L30" s="503">
        <v>0</v>
      </c>
      <c r="M30" s="620">
        <f t="shared" si="22"/>
        <v>4.7</v>
      </c>
      <c r="N30" s="620">
        <f t="shared" si="12"/>
        <v>8.2874999999999996</v>
      </c>
      <c r="O30" s="621">
        <f t="shared" si="13"/>
        <v>6.5875000000000004</v>
      </c>
      <c r="P30" s="101"/>
      <c r="Q30" s="99"/>
      <c r="R30" s="392">
        <v>510</v>
      </c>
      <c r="S30" s="493" t="s">
        <v>231</v>
      </c>
      <c r="T30" s="503">
        <f t="shared" si="21"/>
        <v>6.0750000000000011</v>
      </c>
      <c r="U30" s="620">
        <f t="shared" si="23"/>
        <v>4.5</v>
      </c>
      <c r="V30" s="620">
        <f t="shared" si="16"/>
        <v>8.0749999999999993</v>
      </c>
      <c r="W30" s="621">
        <f t="shared" si="17"/>
        <v>6.1624999999999996</v>
      </c>
      <c r="X30" s="101"/>
    </row>
    <row r="31" spans="1:24" ht="15.75" thickBot="1" x14ac:dyDescent="0.3">
      <c r="A31" s="99"/>
      <c r="B31" s="372">
        <v>450</v>
      </c>
      <c r="C31" s="471"/>
      <c r="D31" s="390">
        <f t="shared" si="24"/>
        <v>2.7749999999999999</v>
      </c>
      <c r="E31" s="317">
        <f t="shared" si="25"/>
        <v>1.575</v>
      </c>
      <c r="F31" s="317">
        <f t="shared" ref="F31:F45" si="26">$C$5/60*(B31-420)</f>
        <v>0.6875</v>
      </c>
      <c r="G31" s="389">
        <v>0</v>
      </c>
      <c r="H31" s="101"/>
      <c r="I31" s="99"/>
      <c r="J31" s="392">
        <v>510</v>
      </c>
      <c r="K31" s="468" t="s">
        <v>232</v>
      </c>
      <c r="L31" s="619">
        <f>$K$3/60*(J31-510)</f>
        <v>0</v>
      </c>
      <c r="M31" s="510">
        <f t="shared" si="22"/>
        <v>4.7</v>
      </c>
      <c r="N31" s="620">
        <f t="shared" si="12"/>
        <v>8.2874999999999996</v>
      </c>
      <c r="O31" s="621">
        <f t="shared" si="13"/>
        <v>6.5875000000000004</v>
      </c>
      <c r="P31" s="101"/>
      <c r="Q31" s="99"/>
      <c r="R31" s="392">
        <v>540</v>
      </c>
      <c r="S31" s="493"/>
      <c r="T31" s="503">
        <v>0</v>
      </c>
      <c r="U31" s="620">
        <f t="shared" si="23"/>
        <v>5.0625</v>
      </c>
      <c r="V31" s="620">
        <f t="shared" si="16"/>
        <v>8.5499999999999989</v>
      </c>
      <c r="W31" s="621">
        <f t="shared" si="17"/>
        <v>6.5249999999999995</v>
      </c>
      <c r="X31" s="101"/>
    </row>
    <row r="32" spans="1:24" x14ac:dyDescent="0.25">
      <c r="A32" s="99"/>
      <c r="B32" s="370">
        <v>480</v>
      </c>
      <c r="C32" s="472"/>
      <c r="D32" s="4">
        <f t="shared" si="24"/>
        <v>3.7</v>
      </c>
      <c r="E32" s="314">
        <f t="shared" si="25"/>
        <v>2.3624999999999998</v>
      </c>
      <c r="F32" s="314">
        <f t="shared" si="26"/>
        <v>1.375</v>
      </c>
      <c r="G32" s="315">
        <f>$C$6/60*(B32-450)</f>
        <v>0.5625</v>
      </c>
      <c r="H32" s="101"/>
      <c r="I32" s="99"/>
      <c r="J32" s="392">
        <v>540</v>
      </c>
      <c r="K32" s="468"/>
      <c r="L32" s="619">
        <f t="shared" ref="L32:L43" si="27">$K$3/60*(J32-510)</f>
        <v>0.72499999999999998</v>
      </c>
      <c r="M32" s="510">
        <v>0</v>
      </c>
      <c r="N32" s="620">
        <f t="shared" si="12"/>
        <v>8.7750000000000004</v>
      </c>
      <c r="O32" s="621">
        <f t="shared" si="13"/>
        <v>6.9749999999999996</v>
      </c>
      <c r="P32" s="101"/>
      <c r="Q32" s="99"/>
      <c r="R32" s="392">
        <v>540</v>
      </c>
      <c r="S32" s="468" t="s">
        <v>232</v>
      </c>
      <c r="T32" s="619">
        <f>$S$3/60*(R32-540)</f>
        <v>0</v>
      </c>
      <c r="U32" s="510">
        <f t="shared" si="23"/>
        <v>5.0625</v>
      </c>
      <c r="V32" s="352">
        <f t="shared" si="16"/>
        <v>8.5499999999999989</v>
      </c>
      <c r="W32" s="621">
        <f t="shared" si="17"/>
        <v>6.5249999999999995</v>
      </c>
      <c r="X32" s="101"/>
    </row>
    <row r="33" spans="1:24" x14ac:dyDescent="0.25">
      <c r="A33" s="99"/>
      <c r="B33" s="371">
        <v>510</v>
      </c>
      <c r="C33" s="473"/>
      <c r="D33" s="5">
        <f t="shared" si="24"/>
        <v>4.625</v>
      </c>
      <c r="E33" s="362">
        <f t="shared" si="25"/>
        <v>3.15</v>
      </c>
      <c r="F33" s="362">
        <f t="shared" si="26"/>
        <v>2.0625</v>
      </c>
      <c r="G33" s="113">
        <f t="shared" ref="G33:G47" si="28">$C$6/60*(B33-450)</f>
        <v>1.125</v>
      </c>
      <c r="H33" s="101"/>
      <c r="I33" s="99"/>
      <c r="J33" s="392">
        <v>540</v>
      </c>
      <c r="K33" s="469" t="s">
        <v>233</v>
      </c>
      <c r="L33" s="619">
        <f t="shared" si="27"/>
        <v>0.72499999999999998</v>
      </c>
      <c r="M33" s="620">
        <f>$K$4/60*(J33-540)</f>
        <v>0</v>
      </c>
      <c r="N33" s="510">
        <f t="shared" si="12"/>
        <v>8.7750000000000004</v>
      </c>
      <c r="O33" s="621">
        <f t="shared" si="13"/>
        <v>6.9749999999999996</v>
      </c>
      <c r="P33" s="101"/>
      <c r="Q33" s="99"/>
      <c r="R33" s="392">
        <v>570</v>
      </c>
      <c r="S33" s="468"/>
      <c r="T33" s="619">
        <f t="shared" ref="T33:T45" si="29">$S$3/60*(R33-540)</f>
        <v>0.67500000000000004</v>
      </c>
      <c r="U33" s="510">
        <v>0</v>
      </c>
      <c r="V33" s="352">
        <f t="shared" si="16"/>
        <v>9.0249999999999986</v>
      </c>
      <c r="W33" s="621">
        <f t="shared" si="17"/>
        <v>6.8875000000000002</v>
      </c>
      <c r="X33" s="101"/>
    </row>
    <row r="34" spans="1:24" x14ac:dyDescent="0.25">
      <c r="A34" s="99"/>
      <c r="B34" s="371">
        <v>540</v>
      </c>
      <c r="C34" s="474"/>
      <c r="D34" s="5">
        <f t="shared" si="24"/>
        <v>5.55</v>
      </c>
      <c r="E34" s="362">
        <f t="shared" si="25"/>
        <v>3.9375</v>
      </c>
      <c r="F34" s="362">
        <f t="shared" si="26"/>
        <v>2.75</v>
      </c>
      <c r="G34" s="113">
        <f t="shared" si="28"/>
        <v>1.6875</v>
      </c>
      <c r="H34" s="101"/>
      <c r="I34" s="99"/>
      <c r="J34" s="392">
        <v>570</v>
      </c>
      <c r="K34" s="469"/>
      <c r="L34" s="619">
        <f t="shared" si="27"/>
        <v>1.45</v>
      </c>
      <c r="M34" s="620">
        <f t="shared" ref="M34:M45" si="30">$K$4/60*(J34-540)</f>
        <v>0.58750000000000002</v>
      </c>
      <c r="N34" s="384">
        <v>0</v>
      </c>
      <c r="O34" s="621">
        <f t="shared" si="13"/>
        <v>7.3624999999999998</v>
      </c>
      <c r="P34" s="101"/>
      <c r="Q34" s="99"/>
      <c r="R34" s="392">
        <v>570</v>
      </c>
      <c r="S34" s="469" t="s">
        <v>233</v>
      </c>
      <c r="T34" s="619">
        <f t="shared" si="29"/>
        <v>0.67500000000000004</v>
      </c>
      <c r="U34" s="620">
        <f>$S$4/60*(R34-570)</f>
        <v>0</v>
      </c>
      <c r="V34" s="510">
        <f t="shared" si="16"/>
        <v>9.0249999999999986</v>
      </c>
      <c r="W34" s="621">
        <f t="shared" si="17"/>
        <v>6.8875000000000002</v>
      </c>
      <c r="X34" s="101"/>
    </row>
    <row r="35" spans="1:24" x14ac:dyDescent="0.25">
      <c r="A35" s="99"/>
      <c r="B35" s="371">
        <v>570</v>
      </c>
      <c r="C35" s="490" t="s">
        <v>231</v>
      </c>
      <c r="D35" s="383">
        <f>C3/60*(B35-B25)</f>
        <v>6.4750000000000005</v>
      </c>
      <c r="E35" s="362">
        <f t="shared" si="25"/>
        <v>4.7249999999999996</v>
      </c>
      <c r="F35" s="362">
        <f t="shared" si="26"/>
        <v>3.4374999999999996</v>
      </c>
      <c r="G35" s="113">
        <f t="shared" si="28"/>
        <v>2.25</v>
      </c>
      <c r="H35" s="101"/>
      <c r="I35" s="99"/>
      <c r="J35" s="392">
        <v>570</v>
      </c>
      <c r="K35" s="470" t="s">
        <v>234</v>
      </c>
      <c r="L35" s="619">
        <f t="shared" si="27"/>
        <v>1.45</v>
      </c>
      <c r="M35" s="620">
        <f t="shared" si="30"/>
        <v>0.58750000000000002</v>
      </c>
      <c r="N35" s="620">
        <f>$K$5/60*(J35-570)</f>
        <v>0</v>
      </c>
      <c r="O35" s="512">
        <f t="shared" si="13"/>
        <v>7.3624999999999998</v>
      </c>
      <c r="P35" s="101"/>
      <c r="Q35" s="99"/>
      <c r="R35" s="392">
        <v>600</v>
      </c>
      <c r="S35" s="469"/>
      <c r="T35" s="619">
        <f t="shared" si="29"/>
        <v>1.35</v>
      </c>
      <c r="U35" s="620">
        <f t="shared" ref="U35:U47" si="31">$S$4/60*(R35-570)</f>
        <v>0.5625</v>
      </c>
      <c r="V35" s="510">
        <v>0</v>
      </c>
      <c r="W35" s="621">
        <f t="shared" si="17"/>
        <v>7.25</v>
      </c>
      <c r="X35" s="101"/>
    </row>
    <row r="36" spans="1:24" ht="15.75" thickBot="1" x14ac:dyDescent="0.3">
      <c r="A36" s="99"/>
      <c r="B36" s="391">
        <v>600</v>
      </c>
      <c r="C36" s="491"/>
      <c r="D36" s="383">
        <v>0</v>
      </c>
      <c r="E36" s="362">
        <f t="shared" si="25"/>
        <v>5.5125000000000002</v>
      </c>
      <c r="F36" s="362">
        <f t="shared" si="26"/>
        <v>4.125</v>
      </c>
      <c r="G36" s="113">
        <f t="shared" si="28"/>
        <v>2.8125</v>
      </c>
      <c r="H36" s="101"/>
      <c r="I36" s="99"/>
      <c r="J36" s="372">
        <v>600</v>
      </c>
      <c r="K36" s="471"/>
      <c r="L36" s="626">
        <f t="shared" si="27"/>
        <v>2.1749999999999998</v>
      </c>
      <c r="M36" s="627">
        <f t="shared" si="30"/>
        <v>1.175</v>
      </c>
      <c r="N36" s="627">
        <f t="shared" ref="N36:N57" si="32">$K$5/60*(J36-570)</f>
        <v>0.48750000000000004</v>
      </c>
      <c r="O36" s="630">
        <v>0</v>
      </c>
      <c r="P36" s="101"/>
      <c r="Q36" s="99"/>
      <c r="R36" s="392">
        <v>600</v>
      </c>
      <c r="S36" s="470" t="s">
        <v>234</v>
      </c>
      <c r="T36" s="619">
        <f t="shared" si="29"/>
        <v>1.35</v>
      </c>
      <c r="U36" s="620">
        <f t="shared" si="31"/>
        <v>0.5625</v>
      </c>
      <c r="V36" s="620">
        <f>$S$5/60*(R36-600)</f>
        <v>0</v>
      </c>
      <c r="W36" s="512">
        <f t="shared" si="17"/>
        <v>7.25</v>
      </c>
      <c r="X36" s="101"/>
    </row>
    <row r="37" spans="1:24" ht="15.75" thickBot="1" x14ac:dyDescent="0.3">
      <c r="A37" s="99"/>
      <c r="B37" s="371">
        <v>600</v>
      </c>
      <c r="C37" s="468" t="s">
        <v>232</v>
      </c>
      <c r="D37" s="5">
        <f>$C$3/60*(B37-600)</f>
        <v>0</v>
      </c>
      <c r="E37" s="384">
        <f>$C$4/60*(B37-B28)</f>
        <v>5.5125000000000002</v>
      </c>
      <c r="F37" s="362">
        <f t="shared" si="26"/>
        <v>4.125</v>
      </c>
      <c r="G37" s="113">
        <f t="shared" si="28"/>
        <v>2.8125</v>
      </c>
      <c r="H37" s="101"/>
      <c r="I37" s="99"/>
      <c r="J37" s="370">
        <v>630</v>
      </c>
      <c r="K37" s="616"/>
      <c r="L37" s="623">
        <f t="shared" si="27"/>
        <v>2.9</v>
      </c>
      <c r="M37" s="624">
        <f t="shared" si="30"/>
        <v>1.7625000000000002</v>
      </c>
      <c r="N37" s="624">
        <f t="shared" si="32"/>
        <v>0.97500000000000009</v>
      </c>
      <c r="O37" s="625">
        <f>$K$6/60*(J37-600)</f>
        <v>0.38750000000000001</v>
      </c>
      <c r="P37" s="101"/>
      <c r="Q37" s="99"/>
      <c r="R37" s="393">
        <v>630</v>
      </c>
      <c r="S37" s="471"/>
      <c r="T37" s="626">
        <f t="shared" si="29"/>
        <v>2.0250000000000004</v>
      </c>
      <c r="U37" s="627">
        <f t="shared" si="31"/>
        <v>1.125</v>
      </c>
      <c r="V37" s="627">
        <f t="shared" ref="V37:V59" si="33">$S$5/60*(R37-600)</f>
        <v>0.47499999999999992</v>
      </c>
      <c r="W37" s="630">
        <v>0</v>
      </c>
      <c r="X37" s="101"/>
    </row>
    <row r="38" spans="1:24" x14ac:dyDescent="0.25">
      <c r="A38" s="99"/>
      <c r="B38" s="371">
        <v>630</v>
      </c>
      <c r="C38" s="468"/>
      <c r="D38" s="5">
        <f t="shared" ref="D38:D41" si="34">$C$3/60*(B38-600)</f>
        <v>0.92500000000000004</v>
      </c>
      <c r="E38" s="384">
        <v>0</v>
      </c>
      <c r="F38" s="362">
        <f t="shared" si="26"/>
        <v>4.8125</v>
      </c>
      <c r="G38" s="113">
        <f t="shared" si="28"/>
        <v>3.375</v>
      </c>
      <c r="H38" s="101"/>
      <c r="I38" s="99"/>
      <c r="J38" s="371">
        <v>660</v>
      </c>
      <c r="K38" s="617"/>
      <c r="L38" s="619">
        <f t="shared" si="27"/>
        <v>3.625</v>
      </c>
      <c r="M38" s="620">
        <f t="shared" si="30"/>
        <v>2.35</v>
      </c>
      <c r="N38" s="620">
        <f t="shared" si="32"/>
        <v>1.4625000000000001</v>
      </c>
      <c r="O38" s="621">
        <f t="shared" ref="O38:O59" si="35">$K$6/60*(J38-600)</f>
        <v>0.77500000000000002</v>
      </c>
      <c r="P38" s="101"/>
      <c r="Q38" s="99"/>
      <c r="R38" s="633">
        <v>660</v>
      </c>
      <c r="S38" s="370"/>
      <c r="T38" s="623">
        <f t="shared" si="29"/>
        <v>2.7</v>
      </c>
      <c r="U38" s="624">
        <f t="shared" si="31"/>
        <v>1.6875</v>
      </c>
      <c r="V38" s="624">
        <f t="shared" si="33"/>
        <v>0.94999999999999984</v>
      </c>
      <c r="W38" s="625">
        <f>$S$6/60*(R38-630)</f>
        <v>0.36249999999999999</v>
      </c>
      <c r="X38" s="101"/>
    </row>
    <row r="39" spans="1:24" x14ac:dyDescent="0.25">
      <c r="A39" s="99"/>
      <c r="B39" s="371">
        <v>660</v>
      </c>
      <c r="C39" s="492"/>
      <c r="D39" s="5">
        <f t="shared" si="34"/>
        <v>1.85</v>
      </c>
      <c r="E39" s="362">
        <f>$C$4/60*(B39-630)</f>
        <v>0.78749999999999998</v>
      </c>
      <c r="F39" s="362">
        <f t="shared" si="26"/>
        <v>5.5</v>
      </c>
      <c r="G39" s="113">
        <f t="shared" si="28"/>
        <v>3.9375</v>
      </c>
      <c r="H39" s="101"/>
      <c r="I39" s="99"/>
      <c r="J39" s="371">
        <v>690</v>
      </c>
      <c r="K39" s="617"/>
      <c r="L39" s="619">
        <f t="shared" si="27"/>
        <v>4.3499999999999996</v>
      </c>
      <c r="M39" s="620">
        <f t="shared" si="30"/>
        <v>2.9375</v>
      </c>
      <c r="N39" s="620">
        <f t="shared" si="32"/>
        <v>1.9500000000000002</v>
      </c>
      <c r="O39" s="621">
        <f t="shared" si="35"/>
        <v>1.1625000000000001</v>
      </c>
      <c r="P39" s="101"/>
      <c r="Q39" s="99"/>
      <c r="R39" s="392">
        <v>690</v>
      </c>
      <c r="S39" s="371"/>
      <c r="T39" s="619">
        <f t="shared" si="29"/>
        <v>3.3750000000000004</v>
      </c>
      <c r="U39" s="620">
        <f t="shared" si="31"/>
        <v>2.25</v>
      </c>
      <c r="V39" s="620">
        <f t="shared" si="33"/>
        <v>1.4249999999999998</v>
      </c>
      <c r="W39" s="621">
        <f t="shared" ref="W39:W61" si="36">$S$6/60*(R39-630)</f>
        <v>0.72499999999999998</v>
      </c>
      <c r="X39" s="101"/>
    </row>
    <row r="40" spans="1:24" x14ac:dyDescent="0.25">
      <c r="A40" s="99"/>
      <c r="B40" s="391">
        <v>690</v>
      </c>
      <c r="C40" s="473"/>
      <c r="D40" s="5">
        <f t="shared" si="34"/>
        <v>2.7749999999999999</v>
      </c>
      <c r="E40" s="362">
        <f t="shared" ref="E40:E43" si="37">$C$4/60*(B40-630)</f>
        <v>1.575</v>
      </c>
      <c r="F40" s="362">
        <f t="shared" si="26"/>
        <v>6.1875</v>
      </c>
      <c r="G40" s="113">
        <f t="shared" si="28"/>
        <v>4.5</v>
      </c>
      <c r="H40" s="101"/>
      <c r="I40" s="99"/>
      <c r="J40" s="371">
        <v>720</v>
      </c>
      <c r="K40" s="617"/>
      <c r="L40" s="619">
        <f t="shared" si="27"/>
        <v>5.0750000000000002</v>
      </c>
      <c r="M40" s="620">
        <f t="shared" si="30"/>
        <v>3.5250000000000004</v>
      </c>
      <c r="N40" s="620">
        <f t="shared" si="32"/>
        <v>2.4375</v>
      </c>
      <c r="O40" s="621">
        <f t="shared" si="35"/>
        <v>1.55</v>
      </c>
      <c r="P40" s="101"/>
      <c r="Q40" s="99"/>
      <c r="R40" s="392">
        <v>720</v>
      </c>
      <c r="S40" s="371"/>
      <c r="T40" s="619">
        <f t="shared" si="29"/>
        <v>4.0500000000000007</v>
      </c>
      <c r="U40" s="620">
        <f t="shared" si="31"/>
        <v>2.8125</v>
      </c>
      <c r="V40" s="620">
        <f t="shared" si="33"/>
        <v>1.8999999999999997</v>
      </c>
      <c r="W40" s="621">
        <f t="shared" si="36"/>
        <v>1.0874999999999999</v>
      </c>
      <c r="X40" s="101"/>
    </row>
    <row r="41" spans="1:24" x14ac:dyDescent="0.25">
      <c r="A41" s="99"/>
      <c r="B41" s="371">
        <v>720</v>
      </c>
      <c r="C41" s="474"/>
      <c r="D41" s="5">
        <f t="shared" si="34"/>
        <v>3.7</v>
      </c>
      <c r="E41" s="362">
        <f t="shared" si="37"/>
        <v>2.3624999999999998</v>
      </c>
      <c r="F41" s="362">
        <f t="shared" si="26"/>
        <v>6.8749999999999991</v>
      </c>
      <c r="G41" s="113">
        <f t="shared" si="28"/>
        <v>5.0625</v>
      </c>
      <c r="H41" s="101"/>
      <c r="I41" s="99"/>
      <c r="J41" s="371">
        <v>750</v>
      </c>
      <c r="K41" s="617"/>
      <c r="L41" s="619">
        <f t="shared" si="27"/>
        <v>5.8</v>
      </c>
      <c r="M41" s="620">
        <f t="shared" si="30"/>
        <v>4.1124999999999998</v>
      </c>
      <c r="N41" s="620">
        <f t="shared" si="32"/>
        <v>2.9250000000000003</v>
      </c>
      <c r="O41" s="621">
        <f t="shared" si="35"/>
        <v>1.9375</v>
      </c>
      <c r="P41" s="101"/>
      <c r="Q41" s="99"/>
      <c r="R41" s="392">
        <v>750</v>
      </c>
      <c r="S41" s="371"/>
      <c r="T41" s="619">
        <f t="shared" si="29"/>
        <v>4.7250000000000005</v>
      </c>
      <c r="U41" s="620">
        <f t="shared" si="31"/>
        <v>3.375</v>
      </c>
      <c r="V41" s="620">
        <f t="shared" si="33"/>
        <v>2.3749999999999996</v>
      </c>
      <c r="W41" s="621">
        <f t="shared" si="36"/>
        <v>1.45</v>
      </c>
      <c r="X41" s="101"/>
    </row>
    <row r="42" spans="1:24" x14ac:dyDescent="0.25">
      <c r="A42" s="99"/>
      <c r="B42" s="371">
        <v>750</v>
      </c>
      <c r="C42" s="493" t="s">
        <v>231</v>
      </c>
      <c r="D42" s="383">
        <f>$C$3/60*(B42-B36)</f>
        <v>4.625</v>
      </c>
      <c r="E42" s="362">
        <f t="shared" si="37"/>
        <v>3.15</v>
      </c>
      <c r="F42" s="362">
        <f t="shared" si="26"/>
        <v>7.5624999999999991</v>
      </c>
      <c r="G42" s="113">
        <f t="shared" si="28"/>
        <v>5.625</v>
      </c>
      <c r="H42" s="101"/>
      <c r="I42" s="99"/>
      <c r="J42" s="371">
        <v>780</v>
      </c>
      <c r="K42" s="618"/>
      <c r="L42" s="619">
        <f t="shared" si="27"/>
        <v>6.5249999999999995</v>
      </c>
      <c r="M42" s="620">
        <f t="shared" si="30"/>
        <v>4.7</v>
      </c>
      <c r="N42" s="620">
        <f t="shared" si="32"/>
        <v>3.4125000000000001</v>
      </c>
      <c r="O42" s="621">
        <f t="shared" si="35"/>
        <v>2.3250000000000002</v>
      </c>
      <c r="P42" s="101"/>
      <c r="Q42" s="99"/>
      <c r="R42" s="392">
        <v>780</v>
      </c>
      <c r="S42" s="371"/>
      <c r="T42" s="619">
        <f t="shared" si="29"/>
        <v>5.4</v>
      </c>
      <c r="U42" s="620">
        <f t="shared" si="31"/>
        <v>3.9375</v>
      </c>
      <c r="V42" s="620">
        <f t="shared" si="33"/>
        <v>2.8499999999999996</v>
      </c>
      <c r="W42" s="621">
        <f t="shared" si="36"/>
        <v>1.8125</v>
      </c>
      <c r="X42" s="101"/>
    </row>
    <row r="43" spans="1:24" x14ac:dyDescent="0.25">
      <c r="A43" s="99"/>
      <c r="B43" s="371">
        <v>780</v>
      </c>
      <c r="C43" s="493"/>
      <c r="D43" s="383">
        <v>0</v>
      </c>
      <c r="E43" s="362">
        <f t="shared" si="37"/>
        <v>3.9375</v>
      </c>
      <c r="F43" s="362">
        <f t="shared" si="26"/>
        <v>8.25</v>
      </c>
      <c r="G43" s="113">
        <f t="shared" si="28"/>
        <v>6.1875</v>
      </c>
      <c r="H43" s="101"/>
      <c r="I43" s="99"/>
      <c r="J43" s="371">
        <v>810</v>
      </c>
      <c r="K43" s="490" t="s">
        <v>231</v>
      </c>
      <c r="L43" s="503">
        <f t="shared" si="27"/>
        <v>7.25</v>
      </c>
      <c r="M43" s="620">
        <f t="shared" si="30"/>
        <v>5.2875000000000005</v>
      </c>
      <c r="N43" s="620">
        <f t="shared" si="32"/>
        <v>3.9000000000000004</v>
      </c>
      <c r="O43" s="621">
        <f t="shared" si="35"/>
        <v>2.7124999999999999</v>
      </c>
      <c r="P43" s="101"/>
      <c r="Q43" s="99"/>
      <c r="R43" s="392">
        <v>810</v>
      </c>
      <c r="S43" s="371"/>
      <c r="T43" s="619">
        <f t="shared" si="29"/>
        <v>6.0750000000000011</v>
      </c>
      <c r="U43" s="620">
        <f t="shared" si="31"/>
        <v>4.5</v>
      </c>
      <c r="V43" s="620">
        <f t="shared" si="33"/>
        <v>3.3249999999999997</v>
      </c>
      <c r="W43" s="621">
        <f t="shared" si="36"/>
        <v>2.1749999999999998</v>
      </c>
      <c r="X43" s="101"/>
    </row>
    <row r="44" spans="1:24" x14ac:dyDescent="0.25">
      <c r="A44" s="99"/>
      <c r="B44" s="391">
        <v>780</v>
      </c>
      <c r="C44" s="468" t="s">
        <v>232</v>
      </c>
      <c r="D44" s="5">
        <f>$C$3/60*(B44-780)</f>
        <v>0</v>
      </c>
      <c r="E44" s="384">
        <f>$C$4/60*(B44-B38)</f>
        <v>3.9375</v>
      </c>
      <c r="F44" s="362">
        <f t="shared" si="26"/>
        <v>8.25</v>
      </c>
      <c r="G44" s="113">
        <f t="shared" si="28"/>
        <v>6.1875</v>
      </c>
      <c r="H44" s="101"/>
      <c r="I44" s="99"/>
      <c r="J44" s="371">
        <v>840</v>
      </c>
      <c r="K44" s="491"/>
      <c r="L44" s="503">
        <v>0</v>
      </c>
      <c r="M44" s="620">
        <f t="shared" si="30"/>
        <v>5.875</v>
      </c>
      <c r="N44" s="620">
        <f t="shared" si="32"/>
        <v>4.3875000000000002</v>
      </c>
      <c r="O44" s="621">
        <f t="shared" si="35"/>
        <v>3.1</v>
      </c>
      <c r="P44" s="101"/>
      <c r="Q44" s="99"/>
      <c r="R44" s="392">
        <v>840</v>
      </c>
      <c r="S44" s="371"/>
      <c r="T44" s="619">
        <f t="shared" si="29"/>
        <v>6.7500000000000009</v>
      </c>
      <c r="U44" s="620">
        <f t="shared" si="31"/>
        <v>5.0625</v>
      </c>
      <c r="V44" s="620">
        <f t="shared" si="33"/>
        <v>3.7999999999999994</v>
      </c>
      <c r="W44" s="621">
        <f t="shared" si="36"/>
        <v>2.5375000000000001</v>
      </c>
      <c r="X44" s="101"/>
    </row>
    <row r="45" spans="1:24" x14ac:dyDescent="0.25">
      <c r="A45" s="99"/>
      <c r="B45" s="371">
        <v>810</v>
      </c>
      <c r="C45" s="468"/>
      <c r="D45" s="5">
        <f t="shared" ref="D45:D52" si="38">$C$3/60*(B45-780)</f>
        <v>0.92500000000000004</v>
      </c>
      <c r="E45" s="384">
        <v>0</v>
      </c>
      <c r="F45" s="362">
        <f t="shared" si="26"/>
        <v>8.9375</v>
      </c>
      <c r="G45" s="113">
        <f t="shared" si="28"/>
        <v>6.75</v>
      </c>
      <c r="H45" s="101"/>
      <c r="I45" s="99"/>
      <c r="J45" s="371">
        <v>840</v>
      </c>
      <c r="K45" s="468" t="s">
        <v>232</v>
      </c>
      <c r="L45" s="619">
        <f>$K$3/60*(J45-840)</f>
        <v>0</v>
      </c>
      <c r="M45" s="510">
        <f t="shared" si="30"/>
        <v>5.875</v>
      </c>
      <c r="N45" s="620">
        <f t="shared" si="32"/>
        <v>4.3875000000000002</v>
      </c>
      <c r="O45" s="621">
        <f t="shared" si="35"/>
        <v>3.1</v>
      </c>
      <c r="P45" s="101"/>
      <c r="Q45" s="99"/>
      <c r="R45" s="392">
        <v>870</v>
      </c>
      <c r="S45" s="493" t="s">
        <v>231</v>
      </c>
      <c r="T45" s="503">
        <f t="shared" si="29"/>
        <v>7.4250000000000007</v>
      </c>
      <c r="U45" s="620">
        <f t="shared" si="31"/>
        <v>5.625</v>
      </c>
      <c r="V45" s="620">
        <f t="shared" si="33"/>
        <v>4.2749999999999995</v>
      </c>
      <c r="W45" s="621">
        <f t="shared" si="36"/>
        <v>2.9</v>
      </c>
      <c r="X45" s="101"/>
    </row>
    <row r="46" spans="1:24" x14ac:dyDescent="0.25">
      <c r="A46" s="99"/>
      <c r="B46" s="371">
        <v>810</v>
      </c>
      <c r="C46" s="469" t="s">
        <v>233</v>
      </c>
      <c r="D46" s="5">
        <f t="shared" si="38"/>
        <v>0.92500000000000004</v>
      </c>
      <c r="E46" s="362">
        <f>$C$4/60*(B46-810)</f>
        <v>0</v>
      </c>
      <c r="F46" s="384">
        <f>$C$5/60*(B46-B29)</f>
        <v>8.9375</v>
      </c>
      <c r="G46" s="113">
        <f t="shared" si="28"/>
        <v>6.75</v>
      </c>
      <c r="H46" s="101"/>
      <c r="I46" s="99"/>
      <c r="J46" s="371">
        <v>870</v>
      </c>
      <c r="K46" s="468"/>
      <c r="L46" s="619">
        <f t="shared" ref="L46:L53" si="39">$K$3/60*(J46-840)</f>
        <v>0.72499999999999998</v>
      </c>
      <c r="M46" s="510">
        <v>0</v>
      </c>
      <c r="N46" s="620">
        <f t="shared" si="32"/>
        <v>4.875</v>
      </c>
      <c r="O46" s="621">
        <f t="shared" si="35"/>
        <v>3.4874999999999998</v>
      </c>
      <c r="P46" s="101"/>
      <c r="Q46" s="99"/>
      <c r="R46" s="392">
        <v>900</v>
      </c>
      <c r="S46" s="493"/>
      <c r="T46" s="503">
        <v>0</v>
      </c>
      <c r="U46" s="620">
        <f t="shared" si="31"/>
        <v>6.1875</v>
      </c>
      <c r="V46" s="620">
        <f t="shared" si="33"/>
        <v>4.7499999999999991</v>
      </c>
      <c r="W46" s="621">
        <f t="shared" si="36"/>
        <v>3.2624999999999997</v>
      </c>
      <c r="X46" s="101"/>
    </row>
    <row r="47" spans="1:24" x14ac:dyDescent="0.25">
      <c r="A47" s="99"/>
      <c r="B47" s="371">
        <v>840</v>
      </c>
      <c r="C47" s="469"/>
      <c r="D47" s="5">
        <f t="shared" si="38"/>
        <v>1.85</v>
      </c>
      <c r="E47" s="362">
        <f t="shared" ref="E47:E53" si="40">$C$4/60*(B47-810)</f>
        <v>0.78749999999999998</v>
      </c>
      <c r="F47" s="384">
        <v>0</v>
      </c>
      <c r="G47" s="113">
        <f t="shared" si="28"/>
        <v>7.3125</v>
      </c>
      <c r="H47" s="101"/>
      <c r="I47" s="99"/>
      <c r="J47" s="371">
        <v>900</v>
      </c>
      <c r="K47" s="629"/>
      <c r="L47" s="619">
        <f t="shared" si="39"/>
        <v>1.45</v>
      </c>
      <c r="M47" s="620">
        <f>$K$4/60*(J47-870)</f>
        <v>0.58750000000000002</v>
      </c>
      <c r="N47" s="620">
        <f t="shared" si="32"/>
        <v>5.3624999999999998</v>
      </c>
      <c r="O47" s="621">
        <f t="shared" si="35"/>
        <v>3.875</v>
      </c>
      <c r="P47" s="101"/>
      <c r="Q47" s="99"/>
      <c r="R47" s="392">
        <v>900</v>
      </c>
      <c r="S47" s="468" t="s">
        <v>232</v>
      </c>
      <c r="T47" s="619">
        <f>$S$3/60*(R47-900)</f>
        <v>0</v>
      </c>
      <c r="U47" s="510">
        <f t="shared" si="31"/>
        <v>6.1875</v>
      </c>
      <c r="V47" s="620">
        <f t="shared" si="33"/>
        <v>4.7499999999999991</v>
      </c>
      <c r="W47" s="621">
        <f t="shared" si="36"/>
        <v>3.2624999999999997</v>
      </c>
      <c r="X47" s="101"/>
    </row>
    <row r="48" spans="1:24" x14ac:dyDescent="0.25">
      <c r="A48" s="99"/>
      <c r="B48" s="391">
        <v>840</v>
      </c>
      <c r="C48" s="470" t="s">
        <v>234</v>
      </c>
      <c r="D48" s="5">
        <f t="shared" si="38"/>
        <v>1.85</v>
      </c>
      <c r="E48" s="362">
        <f t="shared" si="40"/>
        <v>0.78749999999999998</v>
      </c>
      <c r="F48" s="362">
        <f>$C$5/60*(B48-840)</f>
        <v>0</v>
      </c>
      <c r="G48" s="385">
        <f>$C$6/60*(B48-B31)</f>
        <v>7.3125</v>
      </c>
      <c r="H48" s="101"/>
      <c r="I48" s="99"/>
      <c r="J48" s="371">
        <v>930</v>
      </c>
      <c r="K48" s="617"/>
      <c r="L48" s="619">
        <f t="shared" si="39"/>
        <v>2.1749999999999998</v>
      </c>
      <c r="M48" s="620">
        <f t="shared" ref="M48:M55" si="41">$K$4/60*(J48-870)</f>
        <v>1.175</v>
      </c>
      <c r="N48" s="620">
        <f t="shared" si="32"/>
        <v>5.8500000000000005</v>
      </c>
      <c r="O48" s="621">
        <f t="shared" si="35"/>
        <v>4.2625000000000002</v>
      </c>
      <c r="P48" s="101"/>
      <c r="Q48" s="99"/>
      <c r="R48" s="392">
        <v>930</v>
      </c>
      <c r="S48" s="468"/>
      <c r="T48" s="619">
        <f t="shared" ref="T48:T55" si="42">$S$3/60*(R48-900)</f>
        <v>0.67500000000000004</v>
      </c>
      <c r="U48" s="510">
        <v>0</v>
      </c>
      <c r="V48" s="620">
        <f t="shared" si="33"/>
        <v>5.2249999999999996</v>
      </c>
      <c r="W48" s="621">
        <f t="shared" si="36"/>
        <v>3.625</v>
      </c>
      <c r="X48" s="101"/>
    </row>
    <row r="49" spans="1:24" ht="15.75" thickBot="1" x14ac:dyDescent="0.3">
      <c r="A49" s="99"/>
      <c r="B49" s="372">
        <v>870</v>
      </c>
      <c r="C49" s="471"/>
      <c r="D49" s="361">
        <f t="shared" si="38"/>
        <v>2.7749999999999999</v>
      </c>
      <c r="E49" s="227">
        <f t="shared" si="40"/>
        <v>1.575</v>
      </c>
      <c r="F49" s="227">
        <f t="shared" ref="F49:F62" si="43">$C$5/60*(B49-840)</f>
        <v>0.6875</v>
      </c>
      <c r="G49" s="386">
        <v>0</v>
      </c>
      <c r="H49" s="101"/>
      <c r="I49" s="99"/>
      <c r="J49" s="371">
        <v>960</v>
      </c>
      <c r="K49" s="617"/>
      <c r="L49" s="619">
        <f t="shared" si="39"/>
        <v>2.9</v>
      </c>
      <c r="M49" s="620">
        <f t="shared" si="41"/>
        <v>1.7625000000000002</v>
      </c>
      <c r="N49" s="620">
        <f t="shared" si="32"/>
        <v>6.3375000000000004</v>
      </c>
      <c r="O49" s="621">
        <f t="shared" si="35"/>
        <v>4.6500000000000004</v>
      </c>
      <c r="P49" s="101"/>
      <c r="Q49" s="99"/>
      <c r="R49" s="392">
        <v>960</v>
      </c>
      <c r="S49" s="638"/>
      <c r="T49" s="619">
        <f t="shared" si="42"/>
        <v>1.35</v>
      </c>
      <c r="U49" s="620">
        <f>$S$4/60*(R49-930)</f>
        <v>0.5625</v>
      </c>
      <c r="V49" s="620">
        <f t="shared" si="33"/>
        <v>5.6999999999999993</v>
      </c>
      <c r="W49" s="621">
        <f t="shared" si="36"/>
        <v>3.9874999999999998</v>
      </c>
      <c r="X49" s="101"/>
    </row>
    <row r="50" spans="1:24" x14ac:dyDescent="0.25">
      <c r="A50" s="99"/>
      <c r="B50" s="370">
        <v>900</v>
      </c>
      <c r="C50" s="487"/>
      <c r="D50" s="4">
        <f t="shared" si="38"/>
        <v>3.7</v>
      </c>
      <c r="E50" s="314">
        <f t="shared" si="40"/>
        <v>2.3624999999999998</v>
      </c>
      <c r="F50" s="314">
        <f t="shared" si="43"/>
        <v>1.375</v>
      </c>
      <c r="G50" s="315">
        <f>$C$6/60*(B50-870)</f>
        <v>0.5625</v>
      </c>
      <c r="H50" s="101"/>
      <c r="I50" s="99"/>
      <c r="J50" s="371">
        <v>990</v>
      </c>
      <c r="K50" s="617"/>
      <c r="L50" s="619">
        <f t="shared" si="39"/>
        <v>3.625</v>
      </c>
      <c r="M50" s="620">
        <f t="shared" si="41"/>
        <v>2.35</v>
      </c>
      <c r="N50" s="620">
        <f t="shared" si="32"/>
        <v>6.8250000000000002</v>
      </c>
      <c r="O50" s="621">
        <f t="shared" si="35"/>
        <v>5.0374999999999996</v>
      </c>
      <c r="P50" s="101"/>
      <c r="Q50" s="99"/>
      <c r="R50" s="392">
        <v>990</v>
      </c>
      <c r="S50" s="638"/>
      <c r="T50" s="619">
        <f t="shared" si="42"/>
        <v>2.0250000000000004</v>
      </c>
      <c r="U50" s="620">
        <f t="shared" ref="U50:U57" si="44">$S$4/60*(R50-930)</f>
        <v>1.125</v>
      </c>
      <c r="V50" s="620">
        <f t="shared" si="33"/>
        <v>6.1749999999999989</v>
      </c>
      <c r="W50" s="621">
        <f t="shared" si="36"/>
        <v>4.3499999999999996</v>
      </c>
      <c r="X50" s="101"/>
    </row>
    <row r="51" spans="1:24" x14ac:dyDescent="0.25">
      <c r="A51" s="99"/>
      <c r="B51" s="371">
        <v>930</v>
      </c>
      <c r="C51" s="488"/>
      <c r="D51" s="5">
        <f t="shared" si="38"/>
        <v>4.625</v>
      </c>
      <c r="E51" s="362">
        <f t="shared" si="40"/>
        <v>3.15</v>
      </c>
      <c r="F51" s="362">
        <f t="shared" si="43"/>
        <v>2.0625</v>
      </c>
      <c r="G51" s="378">
        <f t="shared" ref="G51:G65" si="45">$C$6/60*(B51-870)</f>
        <v>1.125</v>
      </c>
      <c r="H51" s="101"/>
      <c r="I51" s="99"/>
      <c r="J51" s="371">
        <v>1020</v>
      </c>
      <c r="K51" s="617"/>
      <c r="L51" s="619">
        <f t="shared" si="39"/>
        <v>4.3499999999999996</v>
      </c>
      <c r="M51" s="620">
        <f t="shared" si="41"/>
        <v>2.9375</v>
      </c>
      <c r="N51" s="620">
        <f t="shared" si="32"/>
        <v>7.3125</v>
      </c>
      <c r="O51" s="621">
        <f t="shared" si="35"/>
        <v>5.4249999999999998</v>
      </c>
      <c r="P51" s="101"/>
      <c r="Q51" s="99"/>
      <c r="R51" s="392">
        <v>1020</v>
      </c>
      <c r="S51" s="638"/>
      <c r="T51" s="619">
        <f t="shared" si="42"/>
        <v>2.7</v>
      </c>
      <c r="U51" s="620">
        <f t="shared" si="44"/>
        <v>1.6875</v>
      </c>
      <c r="V51" s="620">
        <f t="shared" si="33"/>
        <v>6.6499999999999995</v>
      </c>
      <c r="W51" s="621">
        <f t="shared" si="36"/>
        <v>4.7124999999999995</v>
      </c>
      <c r="X51" s="101"/>
    </row>
    <row r="52" spans="1:24" x14ac:dyDescent="0.25">
      <c r="A52" s="99"/>
      <c r="B52" s="391">
        <v>960</v>
      </c>
      <c r="C52" s="489"/>
      <c r="D52" s="5">
        <f t="shared" si="38"/>
        <v>5.55</v>
      </c>
      <c r="E52" s="362">
        <f t="shared" si="40"/>
        <v>3.9375</v>
      </c>
      <c r="F52" s="362">
        <f t="shared" si="43"/>
        <v>2.75</v>
      </c>
      <c r="G52" s="378">
        <f t="shared" si="45"/>
        <v>1.6875</v>
      </c>
      <c r="H52" s="101"/>
      <c r="I52" s="99"/>
      <c r="J52" s="371">
        <v>1050</v>
      </c>
      <c r="K52" s="618"/>
      <c r="L52" s="619">
        <f t="shared" si="39"/>
        <v>5.0750000000000002</v>
      </c>
      <c r="M52" s="620">
        <f t="shared" si="41"/>
        <v>3.5250000000000004</v>
      </c>
      <c r="N52" s="620">
        <f t="shared" si="32"/>
        <v>7.8000000000000007</v>
      </c>
      <c r="O52" s="621">
        <f t="shared" si="35"/>
        <v>5.8125</v>
      </c>
      <c r="P52" s="101"/>
      <c r="Q52" s="99"/>
      <c r="R52" s="392">
        <v>1050</v>
      </c>
      <c r="S52" s="638"/>
      <c r="T52" s="619">
        <f t="shared" si="42"/>
        <v>3.3750000000000004</v>
      </c>
      <c r="U52" s="620">
        <f t="shared" si="44"/>
        <v>2.25</v>
      </c>
      <c r="V52" s="620">
        <f t="shared" si="33"/>
        <v>7.1249999999999991</v>
      </c>
      <c r="W52" s="621">
        <f t="shared" si="36"/>
        <v>5.0750000000000002</v>
      </c>
      <c r="X52" s="101"/>
    </row>
    <row r="53" spans="1:24" x14ac:dyDescent="0.25">
      <c r="A53" s="99"/>
      <c r="B53" s="371">
        <v>990</v>
      </c>
      <c r="C53" s="494" t="s">
        <v>231</v>
      </c>
      <c r="D53" s="383">
        <f>$C$3/60*(B53-B43)</f>
        <v>6.4750000000000005</v>
      </c>
      <c r="E53" s="362">
        <f t="shared" si="40"/>
        <v>4.7249999999999996</v>
      </c>
      <c r="F53" s="362">
        <f t="shared" si="43"/>
        <v>3.4374999999999996</v>
      </c>
      <c r="G53" s="378">
        <f t="shared" si="45"/>
        <v>2.25</v>
      </c>
      <c r="H53" s="101"/>
      <c r="I53" s="99"/>
      <c r="J53" s="371">
        <v>1080</v>
      </c>
      <c r="K53" s="493" t="s">
        <v>231</v>
      </c>
      <c r="L53" s="503">
        <f t="shared" si="39"/>
        <v>5.8</v>
      </c>
      <c r="M53" s="620">
        <f t="shared" si="41"/>
        <v>4.1124999999999998</v>
      </c>
      <c r="N53" s="620">
        <f t="shared" si="32"/>
        <v>8.2874999999999996</v>
      </c>
      <c r="O53" s="621">
        <f t="shared" si="35"/>
        <v>6.2</v>
      </c>
      <c r="P53" s="101"/>
      <c r="Q53" s="99"/>
      <c r="R53" s="392">
        <v>1080</v>
      </c>
      <c r="S53" s="638"/>
      <c r="T53" s="619">
        <f t="shared" si="42"/>
        <v>4.0500000000000007</v>
      </c>
      <c r="U53" s="620">
        <f t="shared" si="44"/>
        <v>2.8125</v>
      </c>
      <c r="V53" s="620">
        <f t="shared" si="33"/>
        <v>7.5999999999999988</v>
      </c>
      <c r="W53" s="621">
        <f t="shared" si="36"/>
        <v>5.4375</v>
      </c>
      <c r="X53" s="101"/>
    </row>
    <row r="54" spans="1:24" x14ac:dyDescent="0.25">
      <c r="A54" s="99"/>
      <c r="B54" s="371">
        <v>1020</v>
      </c>
      <c r="C54" s="495"/>
      <c r="D54" s="383">
        <v>0</v>
      </c>
      <c r="E54" s="362">
        <f>$C$4/60*(B54-810)</f>
        <v>5.5125000000000002</v>
      </c>
      <c r="F54" s="362">
        <f t="shared" si="43"/>
        <v>4.125</v>
      </c>
      <c r="G54" s="378">
        <f t="shared" si="45"/>
        <v>2.8125</v>
      </c>
      <c r="H54" s="101"/>
      <c r="I54" s="99"/>
      <c r="J54" s="371">
        <v>1110</v>
      </c>
      <c r="K54" s="493"/>
      <c r="L54" s="503">
        <v>0</v>
      </c>
      <c r="M54" s="620">
        <f t="shared" si="41"/>
        <v>4.7</v>
      </c>
      <c r="N54" s="620">
        <f t="shared" si="32"/>
        <v>8.7750000000000004</v>
      </c>
      <c r="O54" s="621">
        <f t="shared" si="35"/>
        <v>6.5875000000000004</v>
      </c>
      <c r="P54" s="101"/>
      <c r="Q54" s="99"/>
      <c r="R54" s="392">
        <v>1110</v>
      </c>
      <c r="S54" s="638"/>
      <c r="T54" s="619">
        <f t="shared" si="42"/>
        <v>4.7250000000000005</v>
      </c>
      <c r="U54" s="620">
        <f t="shared" si="44"/>
        <v>3.375</v>
      </c>
      <c r="V54" s="620">
        <f t="shared" si="33"/>
        <v>8.0749999999999993</v>
      </c>
      <c r="W54" s="621">
        <f t="shared" si="36"/>
        <v>5.8</v>
      </c>
      <c r="X54" s="101"/>
    </row>
    <row r="55" spans="1:24" x14ac:dyDescent="0.25">
      <c r="A55" s="99"/>
      <c r="B55" s="371">
        <v>1020</v>
      </c>
      <c r="C55" s="496" t="s">
        <v>232</v>
      </c>
      <c r="D55" s="5">
        <f>$C$3/60*(B55-1020)</f>
        <v>0</v>
      </c>
      <c r="E55" s="384">
        <f>$C$4/60*(B55-B45)</f>
        <v>5.5125000000000002</v>
      </c>
      <c r="F55" s="362">
        <f t="shared" si="43"/>
        <v>4.125</v>
      </c>
      <c r="G55" s="378">
        <f t="shared" si="45"/>
        <v>2.8125</v>
      </c>
      <c r="H55" s="101"/>
      <c r="I55" s="99"/>
      <c r="J55" s="371">
        <v>1110</v>
      </c>
      <c r="K55" s="468" t="s">
        <v>232</v>
      </c>
      <c r="L55" s="619">
        <f>$K$3/60*(J55-1110)</f>
        <v>0</v>
      </c>
      <c r="M55" s="510">
        <f t="shared" si="41"/>
        <v>4.7</v>
      </c>
      <c r="N55" s="620">
        <f t="shared" si="32"/>
        <v>8.7750000000000004</v>
      </c>
      <c r="O55" s="621">
        <f t="shared" si="35"/>
        <v>6.5875000000000004</v>
      </c>
      <c r="P55" s="101"/>
      <c r="Q55" s="99"/>
      <c r="R55" s="392">
        <v>1140</v>
      </c>
      <c r="S55" s="493" t="s">
        <v>231</v>
      </c>
      <c r="T55" s="503">
        <f t="shared" si="42"/>
        <v>5.4</v>
      </c>
      <c r="U55" s="620">
        <f t="shared" si="44"/>
        <v>3.9375</v>
      </c>
      <c r="V55" s="620">
        <f t="shared" si="33"/>
        <v>8.5499999999999989</v>
      </c>
      <c r="W55" s="621">
        <f t="shared" si="36"/>
        <v>6.1624999999999996</v>
      </c>
      <c r="X55" s="101"/>
    </row>
    <row r="56" spans="1:24" x14ac:dyDescent="0.25">
      <c r="A56" s="99"/>
      <c r="B56" s="391">
        <v>1050</v>
      </c>
      <c r="C56" s="496"/>
      <c r="D56" s="5">
        <f t="shared" ref="D56:D59" si="46">$C$3/60*(B56-1020)</f>
        <v>0.92500000000000004</v>
      </c>
      <c r="E56" s="384">
        <v>0</v>
      </c>
      <c r="F56" s="362">
        <f t="shared" si="43"/>
        <v>4.8125</v>
      </c>
      <c r="G56" s="378">
        <f t="shared" si="45"/>
        <v>3.375</v>
      </c>
      <c r="H56" s="101"/>
      <c r="I56" s="99"/>
      <c r="J56" s="371">
        <v>1140</v>
      </c>
      <c r="K56" s="468"/>
      <c r="L56" s="619">
        <f t="shared" ref="L56:L67" si="47">$K$3/60*(J56-1110)</f>
        <v>0.72499999999999998</v>
      </c>
      <c r="M56" s="510">
        <v>0</v>
      </c>
      <c r="N56" s="620">
        <f t="shared" si="32"/>
        <v>9.2625000000000011</v>
      </c>
      <c r="O56" s="621">
        <f t="shared" si="35"/>
        <v>6.9749999999999996</v>
      </c>
      <c r="P56" s="101"/>
      <c r="Q56" s="99"/>
      <c r="R56" s="392">
        <v>1170</v>
      </c>
      <c r="S56" s="493"/>
      <c r="T56" s="503">
        <v>0</v>
      </c>
      <c r="U56" s="620">
        <f t="shared" si="44"/>
        <v>4.5</v>
      </c>
      <c r="V56" s="620">
        <f t="shared" si="33"/>
        <v>9.0249999999999986</v>
      </c>
      <c r="W56" s="621">
        <f t="shared" si="36"/>
        <v>6.5249999999999995</v>
      </c>
      <c r="X56" s="101"/>
    </row>
    <row r="57" spans="1:24" x14ac:dyDescent="0.25">
      <c r="A57" s="99"/>
      <c r="B57" s="371">
        <v>1080</v>
      </c>
      <c r="C57" s="497"/>
      <c r="D57" s="5">
        <f t="shared" si="46"/>
        <v>1.85</v>
      </c>
      <c r="E57" s="362">
        <f>$C$4/60*(B57-1050)</f>
        <v>0.78749999999999998</v>
      </c>
      <c r="F57" s="362">
        <f t="shared" si="43"/>
        <v>5.5</v>
      </c>
      <c r="G57" s="378">
        <f t="shared" si="45"/>
        <v>3.9375</v>
      </c>
      <c r="H57" s="101"/>
      <c r="I57" s="99"/>
      <c r="J57" s="371">
        <v>1140</v>
      </c>
      <c r="K57" s="469" t="s">
        <v>233</v>
      </c>
      <c r="L57" s="619">
        <f t="shared" si="47"/>
        <v>0.72499999999999998</v>
      </c>
      <c r="M57" s="620">
        <f>$K$4/60*(J57-1140)</f>
        <v>0</v>
      </c>
      <c r="N57" s="510">
        <f t="shared" si="32"/>
        <v>9.2625000000000011</v>
      </c>
      <c r="O57" s="621">
        <f t="shared" si="35"/>
        <v>6.9749999999999996</v>
      </c>
      <c r="P57" s="101"/>
      <c r="Q57" s="99"/>
      <c r="R57" s="392">
        <v>1170</v>
      </c>
      <c r="S57" s="468" t="s">
        <v>232</v>
      </c>
      <c r="T57" s="619">
        <f>$S$3/60*(R57-1170)</f>
        <v>0</v>
      </c>
      <c r="U57" s="510">
        <f t="shared" si="44"/>
        <v>4.5</v>
      </c>
      <c r="V57" s="620">
        <f t="shared" si="33"/>
        <v>9.0249999999999986</v>
      </c>
      <c r="W57" s="621">
        <f t="shared" si="36"/>
        <v>6.5249999999999995</v>
      </c>
      <c r="X57" s="101"/>
    </row>
    <row r="58" spans="1:24" x14ac:dyDescent="0.25">
      <c r="A58" s="99"/>
      <c r="B58" s="371">
        <v>1110</v>
      </c>
      <c r="C58" s="498"/>
      <c r="D58" s="5">
        <f t="shared" si="46"/>
        <v>2.7749999999999999</v>
      </c>
      <c r="E58" s="362">
        <f t="shared" ref="E58:E61" si="48">$C$4/60*(B58-1050)</f>
        <v>1.575</v>
      </c>
      <c r="F58" s="362">
        <f t="shared" si="43"/>
        <v>6.1875</v>
      </c>
      <c r="G58" s="378">
        <f t="shared" si="45"/>
        <v>4.5</v>
      </c>
      <c r="H58" s="101"/>
      <c r="I58" s="99"/>
      <c r="J58" s="371">
        <v>1170</v>
      </c>
      <c r="K58" s="469"/>
      <c r="L58" s="619">
        <f t="shared" si="47"/>
        <v>1.45</v>
      </c>
      <c r="M58" s="620">
        <f t="shared" ref="M58:M69" si="49">$K$4/60*(J58-1140)</f>
        <v>0.58750000000000002</v>
      </c>
      <c r="N58" s="510">
        <v>0</v>
      </c>
      <c r="O58" s="621">
        <f t="shared" si="35"/>
        <v>7.3624999999999998</v>
      </c>
      <c r="P58" s="101"/>
      <c r="Q58" s="99"/>
      <c r="R58" s="392">
        <v>1200</v>
      </c>
      <c r="S58" s="468"/>
      <c r="T58" s="619">
        <f t="shared" ref="T58:T70" si="50">$S$3/60*(R58-1170)</f>
        <v>0.67500000000000004</v>
      </c>
      <c r="U58" s="510">
        <v>0</v>
      </c>
      <c r="V58" s="620">
        <f t="shared" si="33"/>
        <v>9.4999999999999982</v>
      </c>
      <c r="W58" s="621">
        <f t="shared" si="36"/>
        <v>6.8875000000000002</v>
      </c>
      <c r="X58" s="101"/>
    </row>
    <row r="59" spans="1:24" ht="15.75" thickBot="1" x14ac:dyDescent="0.3">
      <c r="A59" s="99"/>
      <c r="B59" s="371">
        <v>1140</v>
      </c>
      <c r="C59" s="499"/>
      <c r="D59" s="5">
        <f t="shared" si="46"/>
        <v>3.7</v>
      </c>
      <c r="E59" s="362">
        <f t="shared" si="48"/>
        <v>2.3624999999999998</v>
      </c>
      <c r="F59" s="362">
        <f t="shared" si="43"/>
        <v>6.8749999999999991</v>
      </c>
      <c r="G59" s="378">
        <f t="shared" si="45"/>
        <v>5.0625</v>
      </c>
      <c r="H59" s="101"/>
      <c r="I59" s="99"/>
      <c r="J59" s="372">
        <v>1170</v>
      </c>
      <c r="K59" s="470" t="s">
        <v>234</v>
      </c>
      <c r="L59" s="619">
        <f t="shared" si="47"/>
        <v>1.45</v>
      </c>
      <c r="M59" s="620">
        <f t="shared" si="49"/>
        <v>0.58750000000000002</v>
      </c>
      <c r="N59" s="620">
        <f>$K$5/60*(J59-1170)</f>
        <v>0</v>
      </c>
      <c r="O59" s="512">
        <f t="shared" si="35"/>
        <v>7.3624999999999998</v>
      </c>
      <c r="P59" s="101"/>
      <c r="Q59" s="99"/>
      <c r="R59" s="392">
        <v>1200</v>
      </c>
      <c r="S59" s="469" t="s">
        <v>233</v>
      </c>
      <c r="T59" s="619">
        <f t="shared" si="50"/>
        <v>0.67500000000000004</v>
      </c>
      <c r="U59" s="620">
        <f>$S$4/60*(R59-1200)</f>
        <v>0</v>
      </c>
      <c r="V59" s="510">
        <f t="shared" si="33"/>
        <v>9.4999999999999982</v>
      </c>
      <c r="W59" s="621">
        <f t="shared" si="36"/>
        <v>6.8875000000000002</v>
      </c>
      <c r="X59" s="101"/>
    </row>
    <row r="60" spans="1:24" ht="15.75" thickBot="1" x14ac:dyDescent="0.3">
      <c r="A60" s="99"/>
      <c r="B60" s="391">
        <v>1170</v>
      </c>
      <c r="C60" s="500" t="s">
        <v>231</v>
      </c>
      <c r="D60" s="383">
        <f>$C$3/60*(B60-B54)</f>
        <v>4.625</v>
      </c>
      <c r="E60" s="362">
        <f t="shared" si="48"/>
        <v>3.15</v>
      </c>
      <c r="F60" s="362">
        <f t="shared" si="43"/>
        <v>7.5624999999999991</v>
      </c>
      <c r="G60" s="378">
        <f t="shared" si="45"/>
        <v>5.625</v>
      </c>
      <c r="H60" s="101"/>
      <c r="I60" s="99"/>
      <c r="J60" s="631">
        <v>1200</v>
      </c>
      <c r="K60" s="471"/>
      <c r="L60" s="626">
        <f t="shared" si="47"/>
        <v>2.1749999999999998</v>
      </c>
      <c r="M60" s="627">
        <f t="shared" si="49"/>
        <v>1.175</v>
      </c>
      <c r="N60" s="627">
        <f t="shared" ref="N60:N81" si="51">$K$5/60*(J60-1170)</f>
        <v>0.48750000000000004</v>
      </c>
      <c r="O60" s="630">
        <f>$K$6/60*(J60-1200)</f>
        <v>0</v>
      </c>
      <c r="P60" s="101"/>
      <c r="Q60" s="99"/>
      <c r="R60" s="392">
        <v>1230</v>
      </c>
      <c r="S60" s="469"/>
      <c r="T60" s="619">
        <f t="shared" si="50"/>
        <v>1.35</v>
      </c>
      <c r="U60" s="620">
        <f t="shared" ref="U60:U72" si="52">$S$4/60*(R60-1200)</f>
        <v>0.5625</v>
      </c>
      <c r="V60" s="510">
        <v>0</v>
      </c>
      <c r="W60" s="621">
        <f t="shared" si="36"/>
        <v>7.25</v>
      </c>
      <c r="X60" s="101"/>
    </row>
    <row r="61" spans="1:24" x14ac:dyDescent="0.25">
      <c r="A61" s="99"/>
      <c r="B61" s="371">
        <v>1200</v>
      </c>
      <c r="C61" s="500"/>
      <c r="D61" s="383">
        <v>0</v>
      </c>
      <c r="E61" s="362">
        <f t="shared" si="48"/>
        <v>3.9375</v>
      </c>
      <c r="F61" s="362">
        <f t="shared" si="43"/>
        <v>8.25</v>
      </c>
      <c r="G61" s="378">
        <f t="shared" si="45"/>
        <v>6.1875</v>
      </c>
      <c r="H61" s="101"/>
      <c r="I61" s="99"/>
      <c r="J61" s="370">
        <v>1230</v>
      </c>
      <c r="K61" s="616"/>
      <c r="L61" s="623">
        <f t="shared" si="47"/>
        <v>2.9</v>
      </c>
      <c r="M61" s="624">
        <f t="shared" si="49"/>
        <v>1.7625000000000002</v>
      </c>
      <c r="N61" s="624">
        <f t="shared" si="51"/>
        <v>0.97500000000000009</v>
      </c>
      <c r="O61" s="625">
        <f>$K$6/60*(J61-1200)</f>
        <v>0.38750000000000001</v>
      </c>
      <c r="P61" s="101"/>
      <c r="Q61" s="99"/>
      <c r="R61" s="392">
        <v>1230</v>
      </c>
      <c r="S61" s="470" t="s">
        <v>234</v>
      </c>
      <c r="T61" s="619">
        <f t="shared" si="50"/>
        <v>1.35</v>
      </c>
      <c r="U61" s="620">
        <f t="shared" si="52"/>
        <v>0.5625</v>
      </c>
      <c r="V61" s="620">
        <f>$S$5/60*(R61-1230)</f>
        <v>0</v>
      </c>
      <c r="W61" s="512">
        <f t="shared" si="36"/>
        <v>7.25</v>
      </c>
      <c r="X61" s="101"/>
    </row>
    <row r="62" spans="1:24" ht="15.75" thickBot="1" x14ac:dyDescent="0.3">
      <c r="A62" s="99"/>
      <c r="B62" s="371">
        <v>1200</v>
      </c>
      <c r="C62" s="496" t="s">
        <v>232</v>
      </c>
      <c r="D62" s="5">
        <f>$C$3/60*(B62-1200)</f>
        <v>0</v>
      </c>
      <c r="E62" s="384">
        <f>$C$4/60*(B62-B56)</f>
        <v>3.9375</v>
      </c>
      <c r="F62" s="362">
        <f t="shared" si="43"/>
        <v>8.25</v>
      </c>
      <c r="G62" s="378">
        <f t="shared" si="45"/>
        <v>6.1875</v>
      </c>
      <c r="H62" s="101"/>
      <c r="I62" s="99"/>
      <c r="J62" s="392">
        <v>1260</v>
      </c>
      <c r="K62" s="617"/>
      <c r="L62" s="619">
        <f t="shared" si="47"/>
        <v>3.625</v>
      </c>
      <c r="M62" s="620">
        <f t="shared" si="49"/>
        <v>2.35</v>
      </c>
      <c r="N62" s="620">
        <f t="shared" si="51"/>
        <v>1.4625000000000001</v>
      </c>
      <c r="O62" s="621">
        <f t="shared" ref="O62:O83" si="53">$K$6/60*(J62-1200)</f>
        <v>0.77500000000000002</v>
      </c>
      <c r="P62" s="101"/>
      <c r="Q62" s="99"/>
      <c r="R62" s="393">
        <v>1260</v>
      </c>
      <c r="S62" s="471"/>
      <c r="T62" s="626">
        <f t="shared" si="50"/>
        <v>2.0250000000000004</v>
      </c>
      <c r="U62" s="627">
        <f t="shared" si="52"/>
        <v>1.125</v>
      </c>
      <c r="V62" s="627">
        <f t="shared" ref="V62:V84" si="54">$S$5/60*(R62-1230)</f>
        <v>0.47499999999999992</v>
      </c>
      <c r="W62" s="630">
        <v>0</v>
      </c>
      <c r="X62" s="101"/>
    </row>
    <row r="63" spans="1:24" x14ac:dyDescent="0.25">
      <c r="A63" s="99"/>
      <c r="B63" s="371">
        <v>1230</v>
      </c>
      <c r="C63" s="496"/>
      <c r="D63" s="5">
        <f t="shared" ref="D63:D70" si="55">$C$3/60*(B63-1200)</f>
        <v>0.92500000000000004</v>
      </c>
      <c r="E63" s="384">
        <v>0</v>
      </c>
      <c r="F63" s="362">
        <f>$C$5/60*(B63-840)</f>
        <v>8.9375</v>
      </c>
      <c r="G63" s="378">
        <f t="shared" si="45"/>
        <v>6.75</v>
      </c>
      <c r="H63" s="101"/>
      <c r="I63" s="99"/>
      <c r="J63" s="392">
        <v>1290</v>
      </c>
      <c r="K63" s="617"/>
      <c r="L63" s="619">
        <f t="shared" si="47"/>
        <v>4.3499999999999996</v>
      </c>
      <c r="M63" s="620">
        <f t="shared" si="49"/>
        <v>2.9375</v>
      </c>
      <c r="N63" s="620">
        <f t="shared" si="51"/>
        <v>1.9500000000000002</v>
      </c>
      <c r="O63" s="621">
        <f t="shared" si="53"/>
        <v>1.1625000000000001</v>
      </c>
      <c r="P63" s="101"/>
      <c r="Q63" s="99"/>
      <c r="R63" s="633">
        <v>1290</v>
      </c>
      <c r="S63" s="370"/>
      <c r="T63" s="623">
        <f t="shared" si="50"/>
        <v>2.7</v>
      </c>
      <c r="U63" s="624">
        <f t="shared" si="52"/>
        <v>1.6875</v>
      </c>
      <c r="V63" s="624">
        <f t="shared" si="54"/>
        <v>0.94999999999999984</v>
      </c>
      <c r="W63" s="625">
        <f>$S$6/60*(R63-1260)</f>
        <v>0.36249999999999999</v>
      </c>
      <c r="X63" s="101"/>
    </row>
    <row r="64" spans="1:24" x14ac:dyDescent="0.25">
      <c r="A64" s="99"/>
      <c r="B64" s="391">
        <v>1230</v>
      </c>
      <c r="C64" s="501" t="s">
        <v>233</v>
      </c>
      <c r="D64" s="5">
        <f t="shared" si="55"/>
        <v>0.92500000000000004</v>
      </c>
      <c r="E64" s="362">
        <f>$C$4/60*(B64-1230)</f>
        <v>0</v>
      </c>
      <c r="F64" s="384">
        <f>$C$5/60*(B64-B48)</f>
        <v>8.9375</v>
      </c>
      <c r="G64" s="378">
        <f t="shared" si="45"/>
        <v>6.75</v>
      </c>
      <c r="H64" s="101"/>
      <c r="I64" s="99"/>
      <c r="J64" s="392">
        <v>1320</v>
      </c>
      <c r="K64" s="617"/>
      <c r="L64" s="619">
        <f t="shared" si="47"/>
        <v>5.0750000000000002</v>
      </c>
      <c r="M64" s="620">
        <f t="shared" si="49"/>
        <v>3.5250000000000004</v>
      </c>
      <c r="N64" s="620">
        <f t="shared" si="51"/>
        <v>2.4375</v>
      </c>
      <c r="O64" s="621">
        <f t="shared" si="53"/>
        <v>1.55</v>
      </c>
      <c r="P64" s="101"/>
      <c r="Q64" s="99"/>
      <c r="R64" s="392">
        <v>1320</v>
      </c>
      <c r="S64" s="371"/>
      <c r="T64" s="619">
        <f t="shared" si="50"/>
        <v>3.3750000000000004</v>
      </c>
      <c r="U64" s="620">
        <f t="shared" si="52"/>
        <v>2.25</v>
      </c>
      <c r="V64" s="620">
        <f t="shared" si="54"/>
        <v>1.4249999999999998</v>
      </c>
      <c r="W64" s="621">
        <f t="shared" ref="W64:W86" si="56">$S$6/60*(R64-1260)</f>
        <v>0.72499999999999998</v>
      </c>
      <c r="X64" s="101"/>
    </row>
    <row r="65" spans="1:24" x14ac:dyDescent="0.25">
      <c r="A65" s="99"/>
      <c r="B65" s="371">
        <v>1260</v>
      </c>
      <c r="C65" s="501"/>
      <c r="D65" s="5">
        <f t="shared" si="55"/>
        <v>1.85</v>
      </c>
      <c r="E65" s="362">
        <f t="shared" ref="E65:E71" si="57">$C$4/60*(B65-1230)</f>
        <v>0.78749999999999998</v>
      </c>
      <c r="F65" s="384">
        <v>0</v>
      </c>
      <c r="G65" s="378">
        <f t="shared" si="45"/>
        <v>7.3125</v>
      </c>
      <c r="H65" s="101"/>
      <c r="I65" s="99"/>
      <c r="J65" s="392">
        <v>1350</v>
      </c>
      <c r="K65" s="617"/>
      <c r="L65" s="619">
        <f t="shared" si="47"/>
        <v>5.8</v>
      </c>
      <c r="M65" s="620">
        <f t="shared" si="49"/>
        <v>4.1124999999999998</v>
      </c>
      <c r="N65" s="620">
        <f t="shared" si="51"/>
        <v>2.9250000000000003</v>
      </c>
      <c r="O65" s="621">
        <f t="shared" si="53"/>
        <v>1.9375</v>
      </c>
      <c r="P65" s="101"/>
      <c r="Q65" s="99"/>
      <c r="R65" s="392">
        <v>1350</v>
      </c>
      <c r="S65" s="371"/>
      <c r="T65" s="619">
        <f t="shared" si="50"/>
        <v>4.0500000000000007</v>
      </c>
      <c r="U65" s="620">
        <f t="shared" si="52"/>
        <v>2.8125</v>
      </c>
      <c r="V65" s="620">
        <f t="shared" si="54"/>
        <v>1.8999999999999997</v>
      </c>
      <c r="W65" s="621">
        <f t="shared" si="56"/>
        <v>1.0874999999999999</v>
      </c>
      <c r="X65" s="101"/>
    </row>
    <row r="66" spans="1:24" x14ac:dyDescent="0.25">
      <c r="A66" s="99"/>
      <c r="B66" s="371">
        <v>1260</v>
      </c>
      <c r="C66" s="485" t="s">
        <v>234</v>
      </c>
      <c r="D66" s="5">
        <f t="shared" si="55"/>
        <v>1.85</v>
      </c>
      <c r="E66" s="362">
        <f t="shared" si="57"/>
        <v>0.78749999999999998</v>
      </c>
      <c r="F66" s="362">
        <f>$C$5/60*(B66-1260)</f>
        <v>0</v>
      </c>
      <c r="G66" s="385">
        <f>$C$6/60*(B66-B49)</f>
        <v>7.3125</v>
      </c>
      <c r="H66" s="101"/>
      <c r="I66" s="99"/>
      <c r="J66" s="392">
        <v>1380</v>
      </c>
      <c r="K66" s="618"/>
      <c r="L66" s="619">
        <f t="shared" si="47"/>
        <v>6.5249999999999995</v>
      </c>
      <c r="M66" s="620">
        <f t="shared" si="49"/>
        <v>4.7</v>
      </c>
      <c r="N66" s="620">
        <f t="shared" si="51"/>
        <v>3.4125000000000001</v>
      </c>
      <c r="O66" s="621">
        <f t="shared" si="53"/>
        <v>2.3250000000000002</v>
      </c>
      <c r="P66" s="101"/>
      <c r="Q66" s="99"/>
      <c r="R66" s="392">
        <v>1380</v>
      </c>
      <c r="S66" s="371"/>
      <c r="T66" s="619">
        <f t="shared" si="50"/>
        <v>4.7250000000000005</v>
      </c>
      <c r="U66" s="620">
        <f t="shared" si="52"/>
        <v>3.375</v>
      </c>
      <c r="V66" s="620">
        <f t="shared" si="54"/>
        <v>2.3749999999999996</v>
      </c>
      <c r="W66" s="621">
        <f t="shared" si="56"/>
        <v>1.45</v>
      </c>
      <c r="X66" s="101"/>
    </row>
    <row r="67" spans="1:24" ht="15.75" thickBot="1" x14ac:dyDescent="0.3">
      <c r="A67" s="99"/>
      <c r="B67" s="372">
        <v>1290</v>
      </c>
      <c r="C67" s="486"/>
      <c r="D67" s="361">
        <f t="shared" si="55"/>
        <v>2.7749999999999999</v>
      </c>
      <c r="E67" s="227">
        <f t="shared" si="57"/>
        <v>1.575</v>
      </c>
      <c r="F67" s="227">
        <f t="shared" ref="F67:F81" si="58">$C$5/60*(B67-1260)</f>
        <v>0.6875</v>
      </c>
      <c r="G67" s="386">
        <v>0</v>
      </c>
      <c r="H67" s="101"/>
      <c r="I67" s="99"/>
      <c r="J67" s="392">
        <v>1410</v>
      </c>
      <c r="K67" s="490" t="s">
        <v>231</v>
      </c>
      <c r="L67" s="503">
        <f t="shared" si="47"/>
        <v>7.25</v>
      </c>
      <c r="M67" s="620">
        <f t="shared" si="49"/>
        <v>5.2875000000000005</v>
      </c>
      <c r="N67" s="620">
        <f t="shared" si="51"/>
        <v>3.9000000000000004</v>
      </c>
      <c r="O67" s="621">
        <f t="shared" si="53"/>
        <v>2.7124999999999999</v>
      </c>
      <c r="P67" s="101"/>
      <c r="Q67" s="99"/>
      <c r="R67" s="392">
        <v>1410</v>
      </c>
      <c r="S67" s="371"/>
      <c r="T67" s="619">
        <f t="shared" si="50"/>
        <v>5.4</v>
      </c>
      <c r="U67" s="620">
        <f t="shared" si="52"/>
        <v>3.9375</v>
      </c>
      <c r="V67" s="620">
        <f t="shared" si="54"/>
        <v>2.8499999999999996</v>
      </c>
      <c r="W67" s="621">
        <f t="shared" si="56"/>
        <v>1.8125</v>
      </c>
      <c r="X67" s="101"/>
    </row>
    <row r="68" spans="1:24" x14ac:dyDescent="0.25">
      <c r="A68" s="99"/>
      <c r="B68" s="370">
        <v>1320</v>
      </c>
      <c r="C68" s="472"/>
      <c r="D68" s="4">
        <f t="shared" si="55"/>
        <v>3.7</v>
      </c>
      <c r="E68" s="314">
        <f t="shared" si="57"/>
        <v>2.3624999999999998</v>
      </c>
      <c r="F68" s="314">
        <f t="shared" si="58"/>
        <v>1.375</v>
      </c>
      <c r="G68" s="315">
        <f>$C$6/60*(B68-1290)</f>
        <v>0.5625</v>
      </c>
      <c r="H68" s="101"/>
      <c r="I68" s="99"/>
      <c r="J68" s="392">
        <v>1440</v>
      </c>
      <c r="K68" s="491"/>
      <c r="L68" s="503">
        <v>0</v>
      </c>
      <c r="M68" s="620">
        <f t="shared" si="49"/>
        <v>5.875</v>
      </c>
      <c r="N68" s="620">
        <f t="shared" si="51"/>
        <v>4.3875000000000002</v>
      </c>
      <c r="O68" s="621">
        <f t="shared" si="53"/>
        <v>3.1</v>
      </c>
      <c r="P68" s="101"/>
      <c r="Q68" s="99"/>
      <c r="R68" s="392">
        <v>1440</v>
      </c>
      <c r="S68" s="371"/>
      <c r="T68" s="619">
        <f t="shared" si="50"/>
        <v>6.0750000000000011</v>
      </c>
      <c r="U68" s="620">
        <f t="shared" si="52"/>
        <v>4.5</v>
      </c>
      <c r="V68" s="620">
        <f t="shared" si="54"/>
        <v>3.3249999999999997</v>
      </c>
      <c r="W68" s="621">
        <f t="shared" si="56"/>
        <v>2.1749999999999998</v>
      </c>
      <c r="X68" s="101"/>
    </row>
    <row r="69" spans="1:24" x14ac:dyDescent="0.25">
      <c r="A69" s="99"/>
      <c r="B69" s="371">
        <v>1350</v>
      </c>
      <c r="C69" s="473"/>
      <c r="D69" s="5">
        <f t="shared" si="55"/>
        <v>4.625</v>
      </c>
      <c r="E69" s="362">
        <f t="shared" si="57"/>
        <v>3.15</v>
      </c>
      <c r="F69" s="362">
        <f t="shared" si="58"/>
        <v>2.0625</v>
      </c>
      <c r="G69" s="113">
        <f t="shared" ref="G69:G83" si="59">$C$6/60*(B69-1290)</f>
        <v>1.125</v>
      </c>
      <c r="H69" s="101"/>
      <c r="I69" s="99"/>
      <c r="J69" s="392">
        <v>1440</v>
      </c>
      <c r="K69" s="468" t="s">
        <v>232</v>
      </c>
      <c r="L69" s="619">
        <f>$K$3/60*(J69-1440)</f>
        <v>0</v>
      </c>
      <c r="M69" s="510">
        <f t="shared" si="49"/>
        <v>5.875</v>
      </c>
      <c r="N69" s="620">
        <f t="shared" si="51"/>
        <v>4.3875000000000002</v>
      </c>
      <c r="O69" s="621">
        <f t="shared" si="53"/>
        <v>3.1</v>
      </c>
      <c r="P69" s="101"/>
      <c r="Q69" s="99"/>
      <c r="R69" s="392">
        <v>1470</v>
      </c>
      <c r="S69" s="371"/>
      <c r="T69" s="619">
        <f t="shared" si="50"/>
        <v>6.7500000000000009</v>
      </c>
      <c r="U69" s="620">
        <f t="shared" si="52"/>
        <v>5.0625</v>
      </c>
      <c r="V69" s="620">
        <f t="shared" si="54"/>
        <v>3.7999999999999994</v>
      </c>
      <c r="W69" s="621">
        <f t="shared" si="56"/>
        <v>2.5375000000000001</v>
      </c>
      <c r="X69" s="101"/>
    </row>
    <row r="70" spans="1:24" x14ac:dyDescent="0.25">
      <c r="A70" s="99"/>
      <c r="B70" s="371">
        <v>1380</v>
      </c>
      <c r="C70" s="474"/>
      <c r="D70" s="5">
        <f t="shared" si="55"/>
        <v>5.55</v>
      </c>
      <c r="E70" s="362">
        <f t="shared" si="57"/>
        <v>3.9375</v>
      </c>
      <c r="F70" s="362">
        <f t="shared" si="58"/>
        <v>2.75</v>
      </c>
      <c r="G70" s="113">
        <f t="shared" si="59"/>
        <v>1.6875</v>
      </c>
      <c r="H70" s="101"/>
      <c r="I70" s="99"/>
      <c r="J70" s="392">
        <v>1470</v>
      </c>
      <c r="K70" s="468"/>
      <c r="L70" s="619">
        <f t="shared" ref="L70:L76" si="60">$K$3/60*(J70-1440)</f>
        <v>0.72499999999999998</v>
      </c>
      <c r="M70" s="510">
        <v>0</v>
      </c>
      <c r="N70" s="620">
        <f t="shared" si="51"/>
        <v>4.875</v>
      </c>
      <c r="O70" s="621">
        <f t="shared" si="53"/>
        <v>3.4874999999999998</v>
      </c>
      <c r="P70" s="101"/>
      <c r="Q70" s="99"/>
      <c r="R70" s="392">
        <v>1500</v>
      </c>
      <c r="S70" s="493" t="s">
        <v>231</v>
      </c>
      <c r="T70" s="503">
        <f t="shared" si="50"/>
        <v>7.4250000000000007</v>
      </c>
      <c r="U70" s="620">
        <f t="shared" si="52"/>
        <v>5.625</v>
      </c>
      <c r="V70" s="620">
        <f t="shared" si="54"/>
        <v>4.2749999999999995</v>
      </c>
      <c r="W70" s="621">
        <f t="shared" si="56"/>
        <v>2.9</v>
      </c>
      <c r="X70" s="101"/>
    </row>
    <row r="71" spans="1:24" x14ac:dyDescent="0.25">
      <c r="A71" s="99"/>
      <c r="B71" s="371">
        <v>1410</v>
      </c>
      <c r="C71" s="490" t="s">
        <v>231</v>
      </c>
      <c r="D71" s="383">
        <f>$C$3/60*(B71-B61)</f>
        <v>6.4750000000000005</v>
      </c>
      <c r="E71" s="362">
        <f t="shared" si="57"/>
        <v>4.7249999999999996</v>
      </c>
      <c r="F71" s="362">
        <f t="shared" si="58"/>
        <v>3.4374999999999996</v>
      </c>
      <c r="G71" s="113">
        <f t="shared" si="59"/>
        <v>2.25</v>
      </c>
      <c r="H71" s="101"/>
      <c r="I71" s="99"/>
      <c r="J71" s="392">
        <v>1500</v>
      </c>
      <c r="K71" s="629"/>
      <c r="L71" s="619">
        <f t="shared" si="60"/>
        <v>1.45</v>
      </c>
      <c r="M71" s="620">
        <f>$K$4/60*(J71-1470)</f>
        <v>0.58750000000000002</v>
      </c>
      <c r="N71" s="620">
        <f t="shared" si="51"/>
        <v>5.3624999999999998</v>
      </c>
      <c r="O71" s="621">
        <f t="shared" si="53"/>
        <v>3.875</v>
      </c>
      <c r="P71" s="101"/>
      <c r="Q71" s="99"/>
      <c r="R71" s="392">
        <v>1530</v>
      </c>
      <c r="S71" s="493"/>
      <c r="T71" s="503">
        <v>0</v>
      </c>
      <c r="U71" s="620">
        <f t="shared" si="52"/>
        <v>6.1875</v>
      </c>
      <c r="V71" s="620">
        <f t="shared" si="54"/>
        <v>4.7499999999999991</v>
      </c>
      <c r="W71" s="621">
        <f t="shared" si="56"/>
        <v>3.2624999999999997</v>
      </c>
      <c r="X71" s="101"/>
    </row>
    <row r="72" spans="1:24" x14ac:dyDescent="0.25">
      <c r="A72" s="99"/>
      <c r="B72" s="391">
        <v>1440</v>
      </c>
      <c r="C72" s="491"/>
      <c r="D72" s="383">
        <v>0</v>
      </c>
      <c r="E72" s="362">
        <f>$C$4/60*(B72-1230)</f>
        <v>5.5125000000000002</v>
      </c>
      <c r="F72" s="362">
        <f t="shared" si="58"/>
        <v>4.125</v>
      </c>
      <c r="G72" s="113">
        <f t="shared" si="59"/>
        <v>2.8125</v>
      </c>
      <c r="H72" s="101"/>
      <c r="I72" s="99"/>
      <c r="J72" s="392">
        <v>1530</v>
      </c>
      <c r="K72" s="617"/>
      <c r="L72" s="619">
        <f t="shared" si="60"/>
        <v>2.1749999999999998</v>
      </c>
      <c r="M72" s="620">
        <f t="shared" ref="M72:M79" si="61">$K$4/60*(J72-1470)</f>
        <v>1.175</v>
      </c>
      <c r="N72" s="620">
        <f t="shared" si="51"/>
        <v>5.8500000000000005</v>
      </c>
      <c r="O72" s="621">
        <f t="shared" si="53"/>
        <v>4.2625000000000002</v>
      </c>
      <c r="P72" s="101"/>
      <c r="Q72" s="99"/>
      <c r="R72" s="392">
        <v>1530</v>
      </c>
      <c r="S72" s="468" t="s">
        <v>232</v>
      </c>
      <c r="T72" s="622">
        <f>$S$3/60*(R72-1530)</f>
        <v>0</v>
      </c>
      <c r="U72" s="510">
        <f t="shared" si="52"/>
        <v>6.1875</v>
      </c>
      <c r="V72" s="620">
        <f t="shared" si="54"/>
        <v>4.7499999999999991</v>
      </c>
      <c r="W72" s="621">
        <f t="shared" si="56"/>
        <v>3.2624999999999997</v>
      </c>
      <c r="X72" s="101"/>
    </row>
    <row r="73" spans="1:24" x14ac:dyDescent="0.25">
      <c r="A73" s="99"/>
      <c r="B73" s="371">
        <v>1440</v>
      </c>
      <c r="C73" s="468" t="s">
        <v>232</v>
      </c>
      <c r="D73" s="5">
        <f>$C$3/60*(B73-1440)</f>
        <v>0</v>
      </c>
      <c r="E73" s="384">
        <f>$C$4/60*(B73-B63)</f>
        <v>5.5125000000000002</v>
      </c>
      <c r="F73" s="362">
        <f t="shared" si="58"/>
        <v>4.125</v>
      </c>
      <c r="G73" s="113">
        <f t="shared" si="59"/>
        <v>2.8125</v>
      </c>
      <c r="H73" s="101"/>
      <c r="I73" s="99"/>
      <c r="J73" s="392">
        <v>1560</v>
      </c>
      <c r="K73" s="617"/>
      <c r="L73" s="619">
        <f t="shared" si="60"/>
        <v>2.9</v>
      </c>
      <c r="M73" s="620">
        <f t="shared" si="61"/>
        <v>1.7625000000000002</v>
      </c>
      <c r="N73" s="620">
        <f t="shared" si="51"/>
        <v>6.3375000000000004</v>
      </c>
      <c r="O73" s="621">
        <f t="shared" si="53"/>
        <v>4.6500000000000004</v>
      </c>
      <c r="P73" s="101"/>
      <c r="Q73" s="99"/>
      <c r="R73" s="392">
        <v>1560</v>
      </c>
      <c r="S73" s="468"/>
      <c r="T73" s="622">
        <f t="shared" ref="T73:T80" si="62">$S$3/60*(R73-1530)</f>
        <v>0.67500000000000004</v>
      </c>
      <c r="U73" s="510">
        <v>0</v>
      </c>
      <c r="V73" s="620">
        <f t="shared" si="54"/>
        <v>5.2249999999999996</v>
      </c>
      <c r="W73" s="621">
        <f t="shared" si="56"/>
        <v>3.625</v>
      </c>
      <c r="X73" s="101"/>
    </row>
    <row r="74" spans="1:24" x14ac:dyDescent="0.25">
      <c r="A74" s="99"/>
      <c r="B74" s="392">
        <v>1470</v>
      </c>
      <c r="C74" s="468"/>
      <c r="D74" s="5">
        <f t="shared" ref="D74:D77" si="63">$C$3/60*(B74-1440)</f>
        <v>0.92500000000000004</v>
      </c>
      <c r="E74" s="384">
        <v>0</v>
      </c>
      <c r="F74" s="362">
        <f t="shared" si="58"/>
        <v>4.8125</v>
      </c>
      <c r="G74" s="113">
        <f t="shared" si="59"/>
        <v>3.375</v>
      </c>
      <c r="H74" s="101"/>
      <c r="I74" s="99"/>
      <c r="J74" s="392">
        <v>1590</v>
      </c>
      <c r="K74" s="617"/>
      <c r="L74" s="619">
        <f t="shared" si="60"/>
        <v>3.625</v>
      </c>
      <c r="M74" s="620">
        <f t="shared" si="61"/>
        <v>2.35</v>
      </c>
      <c r="N74" s="620">
        <f t="shared" si="51"/>
        <v>6.8250000000000002</v>
      </c>
      <c r="O74" s="621">
        <f t="shared" si="53"/>
        <v>5.0374999999999996</v>
      </c>
      <c r="P74" s="101"/>
      <c r="Q74" s="99"/>
      <c r="R74" s="392">
        <v>1590</v>
      </c>
      <c r="S74" s="638"/>
      <c r="T74" s="622">
        <f t="shared" si="62"/>
        <v>1.35</v>
      </c>
      <c r="U74" s="352">
        <f>$S$4/60*(R74-1560)</f>
        <v>0.5625</v>
      </c>
      <c r="V74" s="620">
        <f t="shared" si="54"/>
        <v>5.6999999999999993</v>
      </c>
      <c r="W74" s="621">
        <f t="shared" si="56"/>
        <v>3.9874999999999998</v>
      </c>
      <c r="X74" s="101"/>
    </row>
    <row r="75" spans="1:24" x14ac:dyDescent="0.25">
      <c r="A75" s="99"/>
      <c r="B75" s="392">
        <v>1500</v>
      </c>
      <c r="C75" s="492"/>
      <c r="D75" s="5">
        <f t="shared" si="63"/>
        <v>1.85</v>
      </c>
      <c r="E75" s="362">
        <f>$C$4/60*(B75-1470)</f>
        <v>0.78749999999999998</v>
      </c>
      <c r="F75" s="362">
        <f t="shared" si="58"/>
        <v>5.5</v>
      </c>
      <c r="G75" s="113">
        <f t="shared" si="59"/>
        <v>3.9375</v>
      </c>
      <c r="H75" s="101"/>
      <c r="I75" s="99"/>
      <c r="J75" s="392">
        <v>1620</v>
      </c>
      <c r="K75" s="617"/>
      <c r="L75" s="619">
        <f t="shared" si="60"/>
        <v>4.3499999999999996</v>
      </c>
      <c r="M75" s="620">
        <f t="shared" si="61"/>
        <v>2.9375</v>
      </c>
      <c r="N75" s="620">
        <f t="shared" si="51"/>
        <v>7.3125</v>
      </c>
      <c r="O75" s="621">
        <f t="shared" si="53"/>
        <v>5.4249999999999998</v>
      </c>
      <c r="P75" s="101"/>
      <c r="Q75" s="99"/>
      <c r="R75" s="392">
        <v>1620</v>
      </c>
      <c r="S75" s="638"/>
      <c r="T75" s="622">
        <f t="shared" si="62"/>
        <v>2.0250000000000004</v>
      </c>
      <c r="U75" s="352">
        <f t="shared" ref="U75:U82" si="64">$S$4/60*(R75-1560)</f>
        <v>1.125</v>
      </c>
      <c r="V75" s="620">
        <f t="shared" si="54"/>
        <v>6.1749999999999989</v>
      </c>
      <c r="W75" s="621">
        <f t="shared" si="56"/>
        <v>4.3499999999999996</v>
      </c>
      <c r="X75" s="101"/>
    </row>
    <row r="76" spans="1:24" x14ac:dyDescent="0.25">
      <c r="A76" s="99"/>
      <c r="B76" s="392">
        <v>1530</v>
      </c>
      <c r="C76" s="473"/>
      <c r="D76" s="5">
        <f t="shared" si="63"/>
        <v>2.7749999999999999</v>
      </c>
      <c r="E76" s="362">
        <f t="shared" ref="E76:E79" si="65">$C$4/60*(B76-1470)</f>
        <v>1.575</v>
      </c>
      <c r="F76" s="362">
        <f t="shared" si="58"/>
        <v>6.1875</v>
      </c>
      <c r="G76" s="113">
        <f t="shared" si="59"/>
        <v>4.5</v>
      </c>
      <c r="H76" s="101"/>
      <c r="I76" s="99"/>
      <c r="J76" s="392">
        <v>1650</v>
      </c>
      <c r="K76" s="618"/>
      <c r="L76" s="619">
        <f t="shared" si="60"/>
        <v>5.0750000000000002</v>
      </c>
      <c r="M76" s="620">
        <f t="shared" si="61"/>
        <v>3.5250000000000004</v>
      </c>
      <c r="N76" s="620">
        <f t="shared" si="51"/>
        <v>7.8000000000000007</v>
      </c>
      <c r="O76" s="621">
        <f t="shared" si="53"/>
        <v>5.8125</v>
      </c>
      <c r="P76" s="101"/>
      <c r="Q76" s="99"/>
      <c r="R76" s="392">
        <v>1650</v>
      </c>
      <c r="S76" s="638"/>
      <c r="T76" s="622">
        <f t="shared" si="62"/>
        <v>2.7</v>
      </c>
      <c r="U76" s="352">
        <f t="shared" si="64"/>
        <v>1.6875</v>
      </c>
      <c r="V76" s="620">
        <f t="shared" si="54"/>
        <v>6.6499999999999995</v>
      </c>
      <c r="W76" s="621">
        <f t="shared" si="56"/>
        <v>4.7124999999999995</v>
      </c>
      <c r="X76" s="101"/>
    </row>
    <row r="77" spans="1:24" x14ac:dyDescent="0.25">
      <c r="A77" s="99"/>
      <c r="B77" s="392">
        <v>1560</v>
      </c>
      <c r="C77" s="474"/>
      <c r="D77" s="5">
        <f t="shared" si="63"/>
        <v>3.7</v>
      </c>
      <c r="E77" s="362">
        <f t="shared" si="65"/>
        <v>2.3624999999999998</v>
      </c>
      <c r="F77" s="362">
        <f t="shared" si="58"/>
        <v>6.8749999999999991</v>
      </c>
      <c r="G77" s="113">
        <f t="shared" si="59"/>
        <v>5.0625</v>
      </c>
      <c r="H77" s="101"/>
      <c r="I77" s="99"/>
      <c r="J77" s="392">
        <v>1680</v>
      </c>
      <c r="K77" s="493" t="s">
        <v>231</v>
      </c>
      <c r="L77" s="503">
        <f>$K$3/60*(J77-1440)</f>
        <v>5.8</v>
      </c>
      <c r="M77" s="620">
        <f t="shared" si="61"/>
        <v>4.1124999999999998</v>
      </c>
      <c r="N77" s="620">
        <f t="shared" si="51"/>
        <v>8.2874999999999996</v>
      </c>
      <c r="O77" s="621">
        <f t="shared" si="53"/>
        <v>6.2</v>
      </c>
      <c r="P77" s="101"/>
      <c r="Q77" s="99"/>
      <c r="R77" s="392">
        <v>1680</v>
      </c>
      <c r="S77" s="638"/>
      <c r="T77" s="622">
        <f t="shared" si="62"/>
        <v>3.3750000000000004</v>
      </c>
      <c r="U77" s="352">
        <f t="shared" si="64"/>
        <v>2.25</v>
      </c>
      <c r="V77" s="620">
        <f t="shared" si="54"/>
        <v>7.1249999999999991</v>
      </c>
      <c r="W77" s="621">
        <f t="shared" si="56"/>
        <v>5.0750000000000002</v>
      </c>
      <c r="X77" s="101"/>
    </row>
    <row r="78" spans="1:24" x14ac:dyDescent="0.25">
      <c r="A78" s="99"/>
      <c r="B78" s="392">
        <v>1590</v>
      </c>
      <c r="C78" s="493" t="s">
        <v>231</v>
      </c>
      <c r="D78" s="383">
        <f>$C$3/60*(B78-B72)</f>
        <v>4.625</v>
      </c>
      <c r="E78" s="362">
        <f t="shared" si="65"/>
        <v>3.15</v>
      </c>
      <c r="F78" s="362">
        <f t="shared" si="58"/>
        <v>7.5624999999999991</v>
      </c>
      <c r="G78" s="113">
        <f t="shared" si="59"/>
        <v>5.625</v>
      </c>
      <c r="H78" s="101"/>
      <c r="I78" s="99"/>
      <c r="J78" s="392">
        <v>1710</v>
      </c>
      <c r="K78" s="493"/>
      <c r="L78" s="383">
        <v>0</v>
      </c>
      <c r="M78" s="620">
        <f t="shared" si="61"/>
        <v>4.7</v>
      </c>
      <c r="N78" s="620">
        <f t="shared" si="51"/>
        <v>8.7750000000000004</v>
      </c>
      <c r="O78" s="621">
        <f t="shared" si="53"/>
        <v>6.5875000000000004</v>
      </c>
      <c r="P78" s="101"/>
      <c r="Q78" s="99"/>
      <c r="R78" s="392">
        <v>1710</v>
      </c>
      <c r="S78" s="638"/>
      <c r="T78" s="622">
        <f t="shared" si="62"/>
        <v>4.0500000000000007</v>
      </c>
      <c r="U78" s="352">
        <f t="shared" si="64"/>
        <v>2.8125</v>
      </c>
      <c r="V78" s="620">
        <f t="shared" si="54"/>
        <v>7.5999999999999988</v>
      </c>
      <c r="W78" s="621">
        <f t="shared" si="56"/>
        <v>5.4375</v>
      </c>
      <c r="X78" s="101"/>
    </row>
    <row r="79" spans="1:24" x14ac:dyDescent="0.25">
      <c r="A79" s="99"/>
      <c r="B79" s="392">
        <v>1620</v>
      </c>
      <c r="C79" s="493"/>
      <c r="D79" s="383">
        <v>0</v>
      </c>
      <c r="E79" s="362">
        <f t="shared" si="65"/>
        <v>3.9375</v>
      </c>
      <c r="F79" s="362">
        <f t="shared" si="58"/>
        <v>8.25</v>
      </c>
      <c r="G79" s="113">
        <f t="shared" si="59"/>
        <v>6.1875</v>
      </c>
      <c r="H79" s="101"/>
      <c r="I79" s="99"/>
      <c r="J79" s="392">
        <v>1710</v>
      </c>
      <c r="K79" s="468" t="s">
        <v>232</v>
      </c>
      <c r="L79" s="622">
        <v>0</v>
      </c>
      <c r="M79" s="510">
        <f t="shared" si="61"/>
        <v>4.7</v>
      </c>
      <c r="N79" s="620">
        <f t="shared" si="51"/>
        <v>8.7750000000000004</v>
      </c>
      <c r="O79" s="621">
        <f t="shared" si="53"/>
        <v>6.5875000000000004</v>
      </c>
      <c r="P79" s="101"/>
      <c r="Q79" s="99"/>
      <c r="R79" s="371">
        <v>1740</v>
      </c>
      <c r="S79" s="638"/>
      <c r="T79" s="622">
        <f t="shared" si="62"/>
        <v>4.7250000000000005</v>
      </c>
      <c r="U79" s="352">
        <f t="shared" si="64"/>
        <v>3.375</v>
      </c>
      <c r="V79" s="620">
        <f t="shared" si="54"/>
        <v>8.0749999999999993</v>
      </c>
      <c r="W79" s="621">
        <f t="shared" si="56"/>
        <v>5.8</v>
      </c>
      <c r="X79" s="101"/>
    </row>
    <row r="80" spans="1:24" x14ac:dyDescent="0.25">
      <c r="A80" s="99"/>
      <c r="B80" s="392">
        <v>1620</v>
      </c>
      <c r="C80" s="468" t="s">
        <v>232</v>
      </c>
      <c r="D80" s="5">
        <v>0</v>
      </c>
      <c r="E80" s="384">
        <f>$C$4/60*(B80-B74)</f>
        <v>3.9375</v>
      </c>
      <c r="F80" s="362">
        <f t="shared" si="58"/>
        <v>8.25</v>
      </c>
      <c r="G80" s="113">
        <f t="shared" si="59"/>
        <v>6.1875</v>
      </c>
      <c r="H80" s="101"/>
      <c r="I80" s="99"/>
      <c r="J80" s="392">
        <v>1740</v>
      </c>
      <c r="K80" s="468"/>
      <c r="L80" s="622">
        <v>0</v>
      </c>
      <c r="M80" s="384">
        <v>0</v>
      </c>
      <c r="N80" s="620">
        <f t="shared" si="51"/>
        <v>9.2625000000000011</v>
      </c>
      <c r="O80" s="621">
        <f t="shared" si="53"/>
        <v>6.9749999999999996</v>
      </c>
      <c r="P80" s="101"/>
      <c r="Q80" s="99"/>
      <c r="R80" s="371">
        <v>1770</v>
      </c>
      <c r="S80" s="493" t="s">
        <v>231</v>
      </c>
      <c r="T80" s="383">
        <f t="shared" si="62"/>
        <v>5.4</v>
      </c>
      <c r="U80" s="352">
        <f t="shared" si="64"/>
        <v>3.9375</v>
      </c>
      <c r="V80" s="620">
        <f t="shared" si="54"/>
        <v>8.5499999999999989</v>
      </c>
      <c r="W80" s="621">
        <f t="shared" si="56"/>
        <v>6.1624999999999996</v>
      </c>
      <c r="X80" s="101"/>
    </row>
    <row r="81" spans="1:24" x14ac:dyDescent="0.25">
      <c r="A81" s="99"/>
      <c r="B81" s="392">
        <v>1650</v>
      </c>
      <c r="C81" s="468"/>
      <c r="D81" s="5">
        <v>0</v>
      </c>
      <c r="E81" s="384">
        <v>0</v>
      </c>
      <c r="F81" s="362">
        <f t="shared" si="58"/>
        <v>8.9375</v>
      </c>
      <c r="G81" s="113">
        <f t="shared" si="59"/>
        <v>6.75</v>
      </c>
      <c r="H81" s="101"/>
      <c r="I81" s="99"/>
      <c r="J81" s="392">
        <v>1740</v>
      </c>
      <c r="K81" s="469" t="s">
        <v>233</v>
      </c>
      <c r="L81" s="622">
        <v>0</v>
      </c>
      <c r="M81" s="352">
        <v>0</v>
      </c>
      <c r="N81" s="510">
        <f t="shared" si="51"/>
        <v>9.2625000000000011</v>
      </c>
      <c r="O81" s="621">
        <f t="shared" si="53"/>
        <v>6.9749999999999996</v>
      </c>
      <c r="P81" s="101"/>
      <c r="Q81" s="99"/>
      <c r="R81" s="371">
        <v>1800</v>
      </c>
      <c r="S81" s="493"/>
      <c r="T81" s="383">
        <v>0</v>
      </c>
      <c r="U81" s="352">
        <f t="shared" si="64"/>
        <v>4.5</v>
      </c>
      <c r="V81" s="620">
        <f t="shared" si="54"/>
        <v>9.0249999999999986</v>
      </c>
      <c r="W81" s="621">
        <f t="shared" si="56"/>
        <v>6.5249999999999995</v>
      </c>
      <c r="X81" s="101"/>
    </row>
    <row r="82" spans="1:24" ht="15.75" thickBot="1" x14ac:dyDescent="0.3">
      <c r="A82" s="99"/>
      <c r="B82" s="392">
        <v>1650</v>
      </c>
      <c r="C82" s="469" t="s">
        <v>233</v>
      </c>
      <c r="D82" s="5">
        <v>0</v>
      </c>
      <c r="E82" s="362">
        <v>0</v>
      </c>
      <c r="F82" s="384">
        <f>$C$5/60*(B82-B65)</f>
        <v>8.9375</v>
      </c>
      <c r="G82" s="113">
        <f t="shared" si="59"/>
        <v>6.75</v>
      </c>
      <c r="H82" s="101"/>
      <c r="I82" s="99"/>
      <c r="J82" s="393">
        <v>1770</v>
      </c>
      <c r="K82" s="469"/>
      <c r="L82" s="622">
        <v>0</v>
      </c>
      <c r="M82" s="352">
        <v>0</v>
      </c>
      <c r="N82" s="384">
        <v>0</v>
      </c>
      <c r="O82" s="621">
        <f t="shared" si="53"/>
        <v>7.3624999999999998</v>
      </c>
      <c r="P82" s="101"/>
      <c r="Q82" s="99"/>
      <c r="R82" s="371">
        <v>1800</v>
      </c>
      <c r="S82" s="468" t="s">
        <v>232</v>
      </c>
      <c r="T82" s="5">
        <v>0</v>
      </c>
      <c r="U82" s="384">
        <f t="shared" si="64"/>
        <v>4.5</v>
      </c>
      <c r="V82" s="620">
        <f t="shared" si="54"/>
        <v>9.0249999999999986</v>
      </c>
      <c r="W82" s="621">
        <f t="shared" si="56"/>
        <v>6.5249999999999995</v>
      </c>
      <c r="X82" s="101"/>
    </row>
    <row r="83" spans="1:24" x14ac:dyDescent="0.25">
      <c r="A83" s="99"/>
      <c r="B83" s="392">
        <v>1680</v>
      </c>
      <c r="C83" s="469"/>
      <c r="D83" s="5">
        <v>0</v>
      </c>
      <c r="E83" s="362">
        <v>0</v>
      </c>
      <c r="F83" s="384">
        <v>0</v>
      </c>
      <c r="G83" s="113">
        <f t="shared" si="59"/>
        <v>7.3125</v>
      </c>
      <c r="H83" s="101"/>
      <c r="I83" s="99"/>
      <c r="J83" s="502">
        <v>1770</v>
      </c>
      <c r="K83" s="470" t="s">
        <v>234</v>
      </c>
      <c r="L83" s="622">
        <v>0</v>
      </c>
      <c r="M83" s="352">
        <v>0</v>
      </c>
      <c r="N83" s="352">
        <v>0</v>
      </c>
      <c r="O83" s="512">
        <f t="shared" si="53"/>
        <v>7.3624999999999998</v>
      </c>
      <c r="P83" s="101"/>
      <c r="Q83" s="99"/>
      <c r="R83" s="371">
        <v>1830</v>
      </c>
      <c r="S83" s="468"/>
      <c r="T83" s="5">
        <v>0</v>
      </c>
      <c r="U83" s="384">
        <v>0</v>
      </c>
      <c r="V83" s="620">
        <f t="shared" si="54"/>
        <v>9.4999999999999982</v>
      </c>
      <c r="W83" s="621">
        <f t="shared" si="56"/>
        <v>6.8875000000000002</v>
      </c>
      <c r="X83" s="101"/>
    </row>
    <row r="84" spans="1:24" ht="15.75" thickBot="1" x14ac:dyDescent="0.3">
      <c r="A84" s="99"/>
      <c r="B84" s="392">
        <v>1680</v>
      </c>
      <c r="C84" s="470" t="s">
        <v>234</v>
      </c>
      <c r="D84" s="5">
        <v>0</v>
      </c>
      <c r="E84" s="362">
        <v>0</v>
      </c>
      <c r="F84" s="362">
        <v>0</v>
      </c>
      <c r="G84" s="385">
        <f>$C$6/60*(B84-B67)</f>
        <v>7.3125</v>
      </c>
      <c r="H84" s="101"/>
      <c r="I84" s="99"/>
      <c r="J84" s="632">
        <v>1800</v>
      </c>
      <c r="K84" s="471"/>
      <c r="L84" s="628">
        <v>0</v>
      </c>
      <c r="M84" s="586">
        <v>0</v>
      </c>
      <c r="N84" s="586">
        <v>0</v>
      </c>
      <c r="O84" s="630">
        <v>0</v>
      </c>
      <c r="P84" s="101"/>
      <c r="Q84" s="99"/>
      <c r="R84" s="371">
        <v>1830</v>
      </c>
      <c r="S84" s="469" t="s">
        <v>233</v>
      </c>
      <c r="T84" s="5">
        <v>0</v>
      </c>
      <c r="U84" s="363">
        <v>0</v>
      </c>
      <c r="V84" s="510">
        <f t="shared" si="54"/>
        <v>9.4999999999999982</v>
      </c>
      <c r="W84" s="621">
        <f t="shared" si="56"/>
        <v>6.8875000000000002</v>
      </c>
      <c r="X84" s="101"/>
    </row>
    <row r="85" spans="1:24" ht="15.75" thickBot="1" x14ac:dyDescent="0.3">
      <c r="A85" s="99"/>
      <c r="B85" s="393">
        <v>1710</v>
      </c>
      <c r="C85" s="471"/>
      <c r="D85" s="361">
        <v>0</v>
      </c>
      <c r="E85" s="227">
        <v>0</v>
      </c>
      <c r="F85" s="227">
        <v>0</v>
      </c>
      <c r="G85" s="386">
        <v>0</v>
      </c>
      <c r="H85" s="101"/>
      <c r="I85" s="99"/>
      <c r="J85" s="100"/>
      <c r="K85" s="100"/>
      <c r="L85" s="100"/>
      <c r="M85" s="100"/>
      <c r="N85" s="100"/>
      <c r="O85" s="100"/>
      <c r="P85" s="101"/>
      <c r="Q85" s="99"/>
      <c r="R85" s="371">
        <v>1860</v>
      </c>
      <c r="S85" s="469"/>
      <c r="T85" s="5">
        <v>0</v>
      </c>
      <c r="U85" s="363">
        <v>0</v>
      </c>
      <c r="V85" s="384">
        <v>0</v>
      </c>
      <c r="W85" s="621">
        <f t="shared" si="56"/>
        <v>7.25</v>
      </c>
      <c r="X85" s="101"/>
    </row>
    <row r="86" spans="1:24" ht="15.75" thickBot="1" x14ac:dyDescent="0.3">
      <c r="A86" s="103"/>
      <c r="B86" s="104"/>
      <c r="C86" s="104"/>
      <c r="D86" s="104"/>
      <c r="E86" s="104"/>
      <c r="F86" s="104"/>
      <c r="G86" s="104"/>
      <c r="H86" s="105"/>
      <c r="I86" s="103"/>
      <c r="J86" s="104"/>
      <c r="K86" s="104"/>
      <c r="L86" s="104"/>
      <c r="M86" s="104"/>
      <c r="N86" s="104"/>
      <c r="O86" s="104"/>
      <c r="P86" s="105"/>
      <c r="Q86" s="103"/>
      <c r="R86" s="371">
        <v>1860</v>
      </c>
      <c r="S86" s="470" t="s">
        <v>234</v>
      </c>
      <c r="T86" s="5">
        <v>0</v>
      </c>
      <c r="U86" s="363">
        <v>0</v>
      </c>
      <c r="V86" s="363">
        <v>0</v>
      </c>
      <c r="W86" s="512">
        <f t="shared" si="56"/>
        <v>7.25</v>
      </c>
      <c r="X86" s="105"/>
    </row>
    <row r="87" spans="1:24" ht="15.75" thickBot="1" x14ac:dyDescent="0.3">
      <c r="R87" s="393">
        <v>1890</v>
      </c>
      <c r="S87" s="471"/>
      <c r="T87" s="628">
        <v>0</v>
      </c>
      <c r="U87" s="586">
        <v>0</v>
      </c>
      <c r="V87" s="586">
        <v>0</v>
      </c>
      <c r="W87" s="386">
        <v>0</v>
      </c>
    </row>
  </sheetData>
  <mergeCells count="91">
    <mergeCell ref="S80:S81"/>
    <mergeCell ref="S82:S83"/>
    <mergeCell ref="S84:S85"/>
    <mergeCell ref="S86:S87"/>
    <mergeCell ref="K83:K84"/>
    <mergeCell ref="K37:K42"/>
    <mergeCell ref="K61:K66"/>
    <mergeCell ref="S19:S20"/>
    <mergeCell ref="S21:S22"/>
    <mergeCell ref="S30:S31"/>
    <mergeCell ref="S32:S33"/>
    <mergeCell ref="S34:S35"/>
    <mergeCell ref="S36:S37"/>
    <mergeCell ref="S45:S46"/>
    <mergeCell ref="S47:S48"/>
    <mergeCell ref="S49:S54"/>
    <mergeCell ref="S57:S58"/>
    <mergeCell ref="S59:S60"/>
    <mergeCell ref="K67:K68"/>
    <mergeCell ref="K77:K78"/>
    <mergeCell ref="K79:K80"/>
    <mergeCell ref="K81:K82"/>
    <mergeCell ref="K45:K46"/>
    <mergeCell ref="K47:K52"/>
    <mergeCell ref="K59:K60"/>
    <mergeCell ref="K69:K70"/>
    <mergeCell ref="K71:K76"/>
    <mergeCell ref="S61:S62"/>
    <mergeCell ref="S70:S71"/>
    <mergeCell ref="S72:S73"/>
    <mergeCell ref="S74:S79"/>
    <mergeCell ref="S55:S56"/>
    <mergeCell ref="R1:V1"/>
    <mergeCell ref="R9:W9"/>
    <mergeCell ref="R10:R11"/>
    <mergeCell ref="S10:S11"/>
    <mergeCell ref="T10:W10"/>
    <mergeCell ref="K57:K58"/>
    <mergeCell ref="K35:K36"/>
    <mergeCell ref="K43:K44"/>
    <mergeCell ref="K53:K54"/>
    <mergeCell ref="K55:K56"/>
    <mergeCell ref="K31:K32"/>
    <mergeCell ref="K19:K20"/>
    <mergeCell ref="K21:K22"/>
    <mergeCell ref="K33:K34"/>
    <mergeCell ref="K12:K18"/>
    <mergeCell ref="K23:K28"/>
    <mergeCell ref="B9:G9"/>
    <mergeCell ref="K29:K30"/>
    <mergeCell ref="C32:C34"/>
    <mergeCell ref="C39:C41"/>
    <mergeCell ref="B1:F1"/>
    <mergeCell ref="C12:C16"/>
    <mergeCell ref="C21:C23"/>
    <mergeCell ref="C35:C36"/>
    <mergeCell ref="C37:C38"/>
    <mergeCell ref="C17:C18"/>
    <mergeCell ref="C19:C20"/>
    <mergeCell ref="C24:C25"/>
    <mergeCell ref="C26:C27"/>
    <mergeCell ref="C28:C29"/>
    <mergeCell ref="C30:C31"/>
    <mergeCell ref="D10:G10"/>
    <mergeCell ref="B10:B11"/>
    <mergeCell ref="C10:C11"/>
    <mergeCell ref="C64:C65"/>
    <mergeCell ref="C42:C43"/>
    <mergeCell ref="C44:C45"/>
    <mergeCell ref="C46:C47"/>
    <mergeCell ref="C48:C49"/>
    <mergeCell ref="C53:C54"/>
    <mergeCell ref="C55:C56"/>
    <mergeCell ref="C57:C59"/>
    <mergeCell ref="C60:C61"/>
    <mergeCell ref="C62:C63"/>
    <mergeCell ref="C80:C81"/>
    <mergeCell ref="C82:C83"/>
    <mergeCell ref="C84:C85"/>
    <mergeCell ref="C68:C70"/>
    <mergeCell ref="J1:N1"/>
    <mergeCell ref="J9:O9"/>
    <mergeCell ref="J10:J11"/>
    <mergeCell ref="K10:K11"/>
    <mergeCell ref="L10:O10"/>
    <mergeCell ref="C66:C67"/>
    <mergeCell ref="C50:C52"/>
    <mergeCell ref="C71:C72"/>
    <mergeCell ref="C73:C74"/>
    <mergeCell ref="C75:C77"/>
    <mergeCell ref="C78:C79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E32"/>
  <sheetViews>
    <sheetView tabSelected="1" workbookViewId="0">
      <selection activeCell="U16" sqref="U16"/>
    </sheetView>
  </sheetViews>
  <sheetFormatPr defaultRowHeight="15" x14ac:dyDescent="0.25"/>
  <sheetData>
    <row r="6" spans="4:5" x14ac:dyDescent="0.25">
      <c r="D6">
        <v>1990</v>
      </c>
      <c r="E6">
        <v>2.4</v>
      </c>
    </row>
    <row r="7" spans="4:5" x14ac:dyDescent="0.25">
      <c r="D7">
        <v>1991</v>
      </c>
      <c r="E7">
        <v>2.7</v>
      </c>
    </row>
    <row r="8" spans="4:5" x14ac:dyDescent="0.25">
      <c r="D8">
        <v>1992</v>
      </c>
      <c r="E8">
        <v>3</v>
      </c>
    </row>
    <row r="9" spans="4:5" x14ac:dyDescent="0.25">
      <c r="D9">
        <v>1993</v>
      </c>
      <c r="E9">
        <v>3.1</v>
      </c>
    </row>
    <row r="10" spans="4:5" x14ac:dyDescent="0.25">
      <c r="D10">
        <v>1994</v>
      </c>
      <c r="E10">
        <v>3.8</v>
      </c>
    </row>
    <row r="11" spans="4:5" x14ac:dyDescent="0.25">
      <c r="D11">
        <v>1995</v>
      </c>
      <c r="E11">
        <v>4.9000000000000004</v>
      </c>
    </row>
    <row r="12" spans="4:5" x14ac:dyDescent="0.25">
      <c r="D12">
        <v>1996</v>
      </c>
      <c r="E12">
        <v>6</v>
      </c>
    </row>
    <row r="13" spans="4:5" x14ac:dyDescent="0.25">
      <c r="D13">
        <v>1997</v>
      </c>
      <c r="E13">
        <v>7</v>
      </c>
    </row>
    <row r="14" spans="4:5" x14ac:dyDescent="0.25">
      <c r="D14">
        <v>1998</v>
      </c>
      <c r="E14">
        <v>9.6999999999999993</v>
      </c>
    </row>
    <row r="15" spans="4:5" x14ac:dyDescent="0.25">
      <c r="D15">
        <v>1999</v>
      </c>
      <c r="E15">
        <v>13</v>
      </c>
    </row>
    <row r="16" spans="4:5" x14ac:dyDescent="0.25">
      <c r="D16">
        <v>2000</v>
      </c>
      <c r="E16">
        <v>17.5</v>
      </c>
    </row>
    <row r="17" spans="4:5" x14ac:dyDescent="0.25">
      <c r="D17">
        <v>2001</v>
      </c>
      <c r="E17">
        <v>24.3</v>
      </c>
    </row>
    <row r="18" spans="4:5" x14ac:dyDescent="0.25">
      <c r="D18">
        <v>2002</v>
      </c>
      <c r="E18">
        <v>31.1</v>
      </c>
    </row>
    <row r="19" spans="4:5" x14ac:dyDescent="0.25">
      <c r="D19">
        <v>2003</v>
      </c>
      <c r="E19">
        <v>39.200000000000003</v>
      </c>
    </row>
    <row r="20" spans="4:5" x14ac:dyDescent="0.25">
      <c r="D20">
        <v>2004</v>
      </c>
      <c r="E20">
        <v>47.5</v>
      </c>
    </row>
    <row r="21" spans="4:5" x14ac:dyDescent="0.25">
      <c r="D21">
        <v>2005</v>
      </c>
      <c r="E21">
        <v>59.1</v>
      </c>
    </row>
    <row r="22" spans="4:5" x14ac:dyDescent="0.25">
      <c r="D22">
        <v>2006</v>
      </c>
      <c r="E22">
        <v>74</v>
      </c>
    </row>
    <row r="23" spans="4:5" x14ac:dyDescent="0.25">
      <c r="D23">
        <v>2007</v>
      </c>
      <c r="E23">
        <v>93.8</v>
      </c>
    </row>
    <row r="24" spans="4:5" x14ac:dyDescent="0.25">
      <c r="D24">
        <v>2008</v>
      </c>
      <c r="E24">
        <v>121</v>
      </c>
    </row>
    <row r="25" spans="4:5" x14ac:dyDescent="0.25">
      <c r="D25">
        <v>2009</v>
      </c>
      <c r="E25">
        <v>158.5</v>
      </c>
    </row>
    <row r="26" spans="4:5" x14ac:dyDescent="0.25">
      <c r="D26">
        <v>2010</v>
      </c>
      <c r="E26">
        <v>199.9</v>
      </c>
    </row>
    <row r="27" spans="4:5" x14ac:dyDescent="0.25">
      <c r="D27">
        <v>2011</v>
      </c>
      <c r="E27">
        <v>243.9</v>
      </c>
    </row>
    <row r="28" spans="4:5" x14ac:dyDescent="0.25">
      <c r="D28">
        <v>2012</v>
      </c>
      <c r="E28">
        <v>292</v>
      </c>
    </row>
    <row r="29" spans="4:5" x14ac:dyDescent="0.25">
      <c r="D29">
        <v>2013</v>
      </c>
      <c r="E29">
        <v>346.5</v>
      </c>
    </row>
    <row r="30" spans="4:5" x14ac:dyDescent="0.25">
      <c r="D30">
        <v>2014</v>
      </c>
      <c r="E30">
        <v>409</v>
      </c>
    </row>
    <row r="31" spans="4:5" x14ac:dyDescent="0.25">
      <c r="D31">
        <v>2015</v>
      </c>
      <c r="E31">
        <v>425</v>
      </c>
    </row>
    <row r="32" spans="4:5" x14ac:dyDescent="0.25">
      <c r="D32">
        <v>2016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19"/>
  <sheetViews>
    <sheetView zoomScale="70" zoomScaleNormal="70" workbookViewId="0">
      <selection activeCell="X15" sqref="X15"/>
    </sheetView>
  </sheetViews>
  <sheetFormatPr defaultRowHeight="15" x14ac:dyDescent="0.25"/>
  <cols>
    <col min="2" max="2" width="13.7109375" customWidth="1"/>
    <col min="3" max="3" width="15.85546875" bestFit="1" customWidth="1"/>
    <col min="4" max="4" width="6.42578125" bestFit="1" customWidth="1"/>
    <col min="5" max="5" width="12.140625" bestFit="1" customWidth="1"/>
    <col min="6" max="6" width="10.85546875" bestFit="1" customWidth="1"/>
    <col min="7" max="7" width="17" bestFit="1" customWidth="1"/>
    <col min="8" max="8" width="7.5703125" bestFit="1" customWidth="1"/>
    <col min="9" max="9" width="14" bestFit="1" customWidth="1"/>
    <col min="10" max="10" width="15" bestFit="1" customWidth="1"/>
    <col min="11" max="11" width="10.5703125" customWidth="1"/>
    <col min="12" max="12" width="9.42578125" bestFit="1" customWidth="1"/>
    <col min="13" max="13" width="14" bestFit="1" customWidth="1"/>
    <col min="14" max="14" width="14.42578125" bestFit="1" customWidth="1"/>
    <col min="15" max="16" width="12.5703125" bestFit="1" customWidth="1"/>
    <col min="17" max="17" width="13.85546875" bestFit="1" customWidth="1"/>
    <col min="18" max="18" width="15.7109375" bestFit="1" customWidth="1"/>
    <col min="19" max="19" width="16.42578125" bestFit="1" customWidth="1"/>
  </cols>
  <sheetData>
    <row r="1" spans="2:19" ht="30" customHeight="1" thickBot="1" x14ac:dyDescent="0.3">
      <c r="B1" s="419" t="s">
        <v>36</v>
      </c>
      <c r="C1" s="420"/>
      <c r="D1" s="420"/>
      <c r="E1" s="420"/>
      <c r="F1" s="420"/>
      <c r="G1" s="420"/>
      <c r="H1" s="420"/>
      <c r="I1" s="420"/>
      <c r="J1" s="420"/>
      <c r="K1" s="420"/>
      <c r="L1" s="420"/>
      <c r="M1" s="420"/>
      <c r="N1" s="420"/>
      <c r="O1" s="420"/>
      <c r="P1" s="420"/>
      <c r="Q1" s="420"/>
      <c r="R1" s="420"/>
      <c r="S1" s="421"/>
    </row>
    <row r="2" spans="2:19" ht="33.75" customHeight="1" thickBot="1" x14ac:dyDescent="0.3">
      <c r="B2" s="26"/>
      <c r="C2" s="229" t="s">
        <v>33</v>
      </c>
      <c r="D2" s="234" t="s">
        <v>65</v>
      </c>
      <c r="E2" s="230" t="s">
        <v>63</v>
      </c>
      <c r="F2" s="234" t="s">
        <v>64</v>
      </c>
      <c r="G2" s="230" t="s">
        <v>66</v>
      </c>
      <c r="H2" s="234" t="s">
        <v>67</v>
      </c>
      <c r="I2" s="230" t="s">
        <v>68</v>
      </c>
      <c r="J2" s="234" t="s">
        <v>98</v>
      </c>
      <c r="K2" s="231" t="s">
        <v>210</v>
      </c>
      <c r="L2" s="234" t="s">
        <v>69</v>
      </c>
      <c r="M2" s="232" t="s">
        <v>23</v>
      </c>
      <c r="N2" s="234" t="s">
        <v>70</v>
      </c>
      <c r="O2" s="230" t="s">
        <v>71</v>
      </c>
      <c r="P2" s="234" t="s">
        <v>72</v>
      </c>
      <c r="Q2" s="232" t="s">
        <v>24</v>
      </c>
      <c r="R2" s="234" t="s">
        <v>73</v>
      </c>
      <c r="S2" s="233" t="s">
        <v>74</v>
      </c>
    </row>
    <row r="3" spans="2:19" x14ac:dyDescent="0.25">
      <c r="B3" s="30" t="s">
        <v>22</v>
      </c>
      <c r="C3" s="23" t="s">
        <v>34</v>
      </c>
      <c r="D3" s="9">
        <v>300</v>
      </c>
      <c r="E3" s="9">
        <f t="shared" ref="E3:E10" si="0">D3*0.707</f>
        <v>212.1</v>
      </c>
      <c r="F3" s="27">
        <v>2.48</v>
      </c>
      <c r="G3" s="28">
        <f t="shared" ref="G3:G10" si="1">E3/F3</f>
        <v>85.524193548387089</v>
      </c>
      <c r="H3" s="14">
        <v>527</v>
      </c>
      <c r="I3" s="31">
        <v>0.39</v>
      </c>
      <c r="J3" s="4">
        <v>0.4</v>
      </c>
      <c r="K3" s="43">
        <v>-8</v>
      </c>
      <c r="L3" s="19">
        <v>20</v>
      </c>
      <c r="M3" s="59">
        <v>400</v>
      </c>
      <c r="N3" s="60">
        <v>2</v>
      </c>
      <c r="O3" s="60">
        <f>(1.9+2)/2</f>
        <v>1.95</v>
      </c>
      <c r="P3" s="92">
        <f>0.0393701*O3</f>
        <v>7.6771695000000001E-2</v>
      </c>
      <c r="Q3" s="60">
        <v>90</v>
      </c>
      <c r="R3" s="60" t="s">
        <v>32</v>
      </c>
      <c r="S3" s="61" t="s">
        <v>32</v>
      </c>
    </row>
    <row r="4" spans="2:19" x14ac:dyDescent="0.25">
      <c r="B4" s="7" t="s">
        <v>25</v>
      </c>
      <c r="C4" s="24" t="s">
        <v>34</v>
      </c>
      <c r="D4" s="11">
        <v>300</v>
      </c>
      <c r="E4" s="12">
        <f t="shared" si="0"/>
        <v>212.1</v>
      </c>
      <c r="F4" s="10">
        <v>2.48</v>
      </c>
      <c r="G4" s="29">
        <f>E4/F4</f>
        <v>85.524193548387089</v>
      </c>
      <c r="H4" s="10">
        <v>527</v>
      </c>
      <c r="I4" s="16">
        <v>0.39</v>
      </c>
      <c r="J4" s="20">
        <v>0.4</v>
      </c>
      <c r="K4" s="44">
        <v>-8</v>
      </c>
      <c r="L4" s="21">
        <v>20</v>
      </c>
      <c r="M4" s="62">
        <v>400</v>
      </c>
      <c r="N4" s="63">
        <v>5</v>
      </c>
      <c r="O4" s="63">
        <v>5.5</v>
      </c>
      <c r="P4" s="93">
        <f>0.0393701*O4</f>
        <v>0.21653554999999999</v>
      </c>
      <c r="Q4" s="63">
        <v>90</v>
      </c>
      <c r="R4" s="63">
        <v>39</v>
      </c>
      <c r="S4" s="64">
        <v>71</v>
      </c>
    </row>
    <row r="5" spans="2:19" x14ac:dyDescent="0.25">
      <c r="B5" s="7" t="s">
        <v>26</v>
      </c>
      <c r="C5" s="24" t="s">
        <v>34</v>
      </c>
      <c r="D5" s="11">
        <v>300</v>
      </c>
      <c r="E5" s="12">
        <f t="shared" si="0"/>
        <v>212.1</v>
      </c>
      <c r="F5" s="10">
        <v>2.48</v>
      </c>
      <c r="G5" s="29">
        <f t="shared" si="1"/>
        <v>85.524193548387089</v>
      </c>
      <c r="H5" s="10">
        <v>527</v>
      </c>
      <c r="I5" s="16">
        <v>0.39</v>
      </c>
      <c r="J5" s="5">
        <v>0.4</v>
      </c>
      <c r="K5" s="45">
        <v>-8</v>
      </c>
      <c r="L5" s="21">
        <v>20</v>
      </c>
      <c r="M5" s="62">
        <v>400</v>
      </c>
      <c r="N5" s="63">
        <v>5</v>
      </c>
      <c r="O5" s="63">
        <v>5.5</v>
      </c>
      <c r="P5" s="93">
        <f t="shared" ref="P5:P10" si="2">0.0393701*O5</f>
        <v>0.21653554999999999</v>
      </c>
      <c r="Q5" s="63">
        <v>90</v>
      </c>
      <c r="R5" s="63">
        <v>65</v>
      </c>
      <c r="S5" s="64">
        <v>71</v>
      </c>
    </row>
    <row r="6" spans="2:19" x14ac:dyDescent="0.25">
      <c r="B6" s="7" t="s">
        <v>27</v>
      </c>
      <c r="C6" s="24" t="s">
        <v>35</v>
      </c>
      <c r="D6" s="11">
        <v>300</v>
      </c>
      <c r="E6" s="12">
        <f t="shared" si="0"/>
        <v>212.1</v>
      </c>
      <c r="F6" s="10">
        <v>2.48</v>
      </c>
      <c r="G6" s="29">
        <f t="shared" si="1"/>
        <v>85.524193548387089</v>
      </c>
      <c r="H6" s="10">
        <v>527</v>
      </c>
      <c r="I6" s="16">
        <v>0.39</v>
      </c>
      <c r="J6" s="5">
        <v>0.4</v>
      </c>
      <c r="K6" s="45">
        <v>-8</v>
      </c>
      <c r="L6" s="21">
        <v>20</v>
      </c>
      <c r="M6" s="62">
        <v>400</v>
      </c>
      <c r="N6" s="63">
        <v>5</v>
      </c>
      <c r="O6" s="63">
        <v>5.6</v>
      </c>
      <c r="P6" s="93">
        <f t="shared" si="2"/>
        <v>0.22047255999999998</v>
      </c>
      <c r="Q6" s="63">
        <v>90</v>
      </c>
      <c r="R6" s="63" t="s">
        <v>37</v>
      </c>
      <c r="S6" s="64" t="s">
        <v>37</v>
      </c>
    </row>
    <row r="7" spans="2:19" x14ac:dyDescent="0.25">
      <c r="B7" s="7" t="s">
        <v>28</v>
      </c>
      <c r="C7" s="24" t="s">
        <v>35</v>
      </c>
      <c r="D7" s="11">
        <v>300</v>
      </c>
      <c r="E7" s="11">
        <f t="shared" si="0"/>
        <v>212.1</v>
      </c>
      <c r="F7" s="10">
        <v>2.48</v>
      </c>
      <c r="G7" s="29">
        <f t="shared" si="1"/>
        <v>85.524193548387089</v>
      </c>
      <c r="H7" s="10">
        <v>527</v>
      </c>
      <c r="I7" s="16">
        <v>0.39</v>
      </c>
      <c r="J7" s="5">
        <v>0.4</v>
      </c>
      <c r="K7" s="45">
        <v>-8</v>
      </c>
      <c r="L7" s="21">
        <v>20</v>
      </c>
      <c r="M7" s="62">
        <v>400</v>
      </c>
      <c r="N7" s="63">
        <v>5</v>
      </c>
      <c r="O7" s="63">
        <v>5.5</v>
      </c>
      <c r="P7" s="94">
        <f t="shared" si="2"/>
        <v>0.21653554999999999</v>
      </c>
      <c r="Q7" s="63">
        <v>90</v>
      </c>
      <c r="R7" s="63" t="s">
        <v>37</v>
      </c>
      <c r="S7" s="64" t="s">
        <v>37</v>
      </c>
    </row>
    <row r="8" spans="2:19" x14ac:dyDescent="0.25">
      <c r="B8" s="7" t="s">
        <v>29</v>
      </c>
      <c r="C8" s="24" t="s">
        <v>34</v>
      </c>
      <c r="D8" s="11">
        <v>300</v>
      </c>
      <c r="E8" s="11">
        <f t="shared" si="0"/>
        <v>212.1</v>
      </c>
      <c r="F8" s="10">
        <v>2.48</v>
      </c>
      <c r="G8" s="29">
        <f t="shared" si="1"/>
        <v>85.524193548387089</v>
      </c>
      <c r="H8" s="10">
        <v>527</v>
      </c>
      <c r="I8" s="16">
        <v>0.39</v>
      </c>
      <c r="J8" s="5">
        <v>0.4</v>
      </c>
      <c r="K8" s="45">
        <v>-8</v>
      </c>
      <c r="L8" s="21">
        <v>20</v>
      </c>
      <c r="M8" s="62">
        <v>400</v>
      </c>
      <c r="N8" s="63">
        <v>10</v>
      </c>
      <c r="O8" s="63">
        <v>10</v>
      </c>
      <c r="P8" s="94">
        <f t="shared" si="2"/>
        <v>0.39370099999999997</v>
      </c>
      <c r="Q8" s="63">
        <v>90</v>
      </c>
      <c r="R8" s="63">
        <v>24</v>
      </c>
      <c r="S8" s="64">
        <v>39</v>
      </c>
    </row>
    <row r="9" spans="2:19" x14ac:dyDescent="0.25">
      <c r="B9" s="7" t="s">
        <v>30</v>
      </c>
      <c r="C9" s="24" t="s">
        <v>34</v>
      </c>
      <c r="D9" s="11">
        <v>300</v>
      </c>
      <c r="E9" s="11">
        <f t="shared" si="0"/>
        <v>212.1</v>
      </c>
      <c r="F9" s="10">
        <v>2.4500000000000002</v>
      </c>
      <c r="G9" s="29">
        <f t="shared" si="1"/>
        <v>86.571428571428569</v>
      </c>
      <c r="H9" s="11">
        <v>520</v>
      </c>
      <c r="I9" s="17">
        <v>0.38</v>
      </c>
      <c r="J9" s="5">
        <v>0.4</v>
      </c>
      <c r="K9" s="45">
        <v>-8</v>
      </c>
      <c r="L9" s="21">
        <v>20</v>
      </c>
      <c r="M9" s="62">
        <v>400</v>
      </c>
      <c r="N9" s="63">
        <v>10</v>
      </c>
      <c r="O9" s="63">
        <v>10.5</v>
      </c>
      <c r="P9" s="94">
        <f t="shared" si="2"/>
        <v>0.41338605</v>
      </c>
      <c r="Q9" s="63">
        <v>90</v>
      </c>
      <c r="R9" s="63">
        <v>47</v>
      </c>
      <c r="S9" s="64">
        <v>48</v>
      </c>
    </row>
    <row r="10" spans="2:19" ht="15.75" thickBot="1" x14ac:dyDescent="0.3">
      <c r="B10" s="8" t="s">
        <v>31</v>
      </c>
      <c r="C10" s="25" t="s">
        <v>35</v>
      </c>
      <c r="D10" s="13">
        <v>300</v>
      </c>
      <c r="E10" s="13">
        <f t="shared" si="0"/>
        <v>212.1</v>
      </c>
      <c r="F10" s="15">
        <v>2.48</v>
      </c>
      <c r="G10" s="32">
        <f t="shared" si="1"/>
        <v>85.524193548387089</v>
      </c>
      <c r="H10" s="13">
        <v>527</v>
      </c>
      <c r="I10" s="18">
        <v>0.38</v>
      </c>
      <c r="J10" s="6">
        <v>0.4</v>
      </c>
      <c r="K10" s="46">
        <v>-8</v>
      </c>
      <c r="L10" s="22">
        <v>20</v>
      </c>
      <c r="M10" s="65">
        <v>400</v>
      </c>
      <c r="N10" s="66">
        <v>10</v>
      </c>
      <c r="O10" s="66">
        <v>10.5</v>
      </c>
      <c r="P10" s="95">
        <f t="shared" si="2"/>
        <v>0.41338605</v>
      </c>
      <c r="Q10" s="66">
        <v>90</v>
      </c>
      <c r="R10" s="66" t="s">
        <v>37</v>
      </c>
      <c r="S10" s="67" t="s">
        <v>37</v>
      </c>
    </row>
    <row r="11" spans="2:19" ht="21.75" thickBot="1" x14ac:dyDescent="0.3">
      <c r="B11" s="416" t="s">
        <v>181</v>
      </c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</row>
    <row r="12" spans="2:19" ht="16.5" thickBot="1" x14ac:dyDescent="0.3">
      <c r="B12" s="413" t="s">
        <v>110</v>
      </c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414"/>
      <c r="Q12" s="414"/>
      <c r="R12" s="414"/>
      <c r="S12" s="414"/>
    </row>
    <row r="13" spans="2:19" ht="30" x14ac:dyDescent="0.25">
      <c r="B13" s="51" t="s">
        <v>81</v>
      </c>
      <c r="C13" s="54" t="s">
        <v>35</v>
      </c>
      <c r="D13" s="127">
        <v>300</v>
      </c>
      <c r="E13" s="48">
        <f>D13*0.707</f>
        <v>212.1</v>
      </c>
      <c r="F13" s="48">
        <v>2.48</v>
      </c>
      <c r="G13" s="49">
        <f>E13/F13</f>
        <v>85.524193548387089</v>
      </c>
      <c r="H13" s="48">
        <v>527</v>
      </c>
      <c r="I13" s="123">
        <v>0.38</v>
      </c>
      <c r="J13" s="69">
        <v>0.4</v>
      </c>
      <c r="K13" s="50">
        <v>-8</v>
      </c>
      <c r="L13" s="70">
        <v>20</v>
      </c>
      <c r="M13" s="73">
        <v>400</v>
      </c>
      <c r="N13" s="74">
        <v>10</v>
      </c>
      <c r="O13" s="74">
        <v>10.5</v>
      </c>
      <c r="P13" s="107">
        <f t="shared" ref="P13:P27" si="3">0.0393701*O13</f>
        <v>0.41338605</v>
      </c>
      <c r="Q13" s="74">
        <v>220</v>
      </c>
      <c r="R13" s="74">
        <v>11</v>
      </c>
      <c r="S13" s="75">
        <v>14</v>
      </c>
    </row>
    <row r="14" spans="2:19" ht="30" x14ac:dyDescent="0.25">
      <c r="B14" s="82" t="s">
        <v>82</v>
      </c>
      <c r="C14" s="83" t="s">
        <v>35</v>
      </c>
      <c r="D14" s="128">
        <v>300</v>
      </c>
      <c r="E14" s="84">
        <v>212.1</v>
      </c>
      <c r="F14" s="84">
        <v>2.48</v>
      </c>
      <c r="G14" s="85">
        <v>85.52</v>
      </c>
      <c r="H14" s="84">
        <v>527</v>
      </c>
      <c r="I14" s="124">
        <v>0.38</v>
      </c>
      <c r="J14" s="86">
        <v>0.4</v>
      </c>
      <c r="K14" s="87">
        <v>-8</v>
      </c>
      <c r="L14" s="88">
        <v>20</v>
      </c>
      <c r="M14" s="89">
        <v>400</v>
      </c>
      <c r="N14" s="90">
        <v>5</v>
      </c>
      <c r="O14" s="90">
        <v>6.5</v>
      </c>
      <c r="P14" s="108">
        <f t="shared" si="3"/>
        <v>0.25590564999999998</v>
      </c>
      <c r="Q14" s="90">
        <v>286</v>
      </c>
      <c r="R14" s="90">
        <v>17</v>
      </c>
      <c r="S14" s="91" t="s">
        <v>87</v>
      </c>
    </row>
    <row r="15" spans="2:19" ht="30" x14ac:dyDescent="0.25">
      <c r="B15" s="138" t="s">
        <v>83</v>
      </c>
      <c r="C15" s="139" t="s">
        <v>35</v>
      </c>
      <c r="D15" s="140">
        <v>300</v>
      </c>
      <c r="E15" s="141">
        <v>212.1</v>
      </c>
      <c r="F15" s="141">
        <v>2.48</v>
      </c>
      <c r="G15" s="142">
        <v>85.52</v>
      </c>
      <c r="H15" s="141">
        <v>527</v>
      </c>
      <c r="I15" s="143">
        <v>0.38</v>
      </c>
      <c r="J15" s="144">
        <v>0.4</v>
      </c>
      <c r="K15" s="145">
        <v>-8</v>
      </c>
      <c r="L15" s="146">
        <v>20</v>
      </c>
      <c r="M15" s="140">
        <v>400</v>
      </c>
      <c r="N15" s="145">
        <v>6</v>
      </c>
      <c r="O15" s="145">
        <v>8</v>
      </c>
      <c r="P15" s="147">
        <f t="shared" si="3"/>
        <v>0.31496079999999999</v>
      </c>
      <c r="Q15" s="145">
        <v>286</v>
      </c>
      <c r="R15" s="145">
        <v>24</v>
      </c>
      <c r="S15" s="146">
        <v>66</v>
      </c>
    </row>
    <row r="16" spans="2:19" ht="30" x14ac:dyDescent="0.25">
      <c r="B16" s="138" t="s">
        <v>84</v>
      </c>
      <c r="C16" s="139" t="s">
        <v>35</v>
      </c>
      <c r="D16" s="140">
        <v>300</v>
      </c>
      <c r="E16" s="141">
        <v>212.1</v>
      </c>
      <c r="F16" s="141">
        <v>2.48</v>
      </c>
      <c r="G16" s="142">
        <v>85.52</v>
      </c>
      <c r="H16" s="141">
        <v>527</v>
      </c>
      <c r="I16" s="143">
        <v>0.38</v>
      </c>
      <c r="J16" s="144">
        <v>0.4</v>
      </c>
      <c r="K16" s="145">
        <v>-8</v>
      </c>
      <c r="L16" s="146">
        <v>20</v>
      </c>
      <c r="M16" s="140">
        <v>400</v>
      </c>
      <c r="N16" s="145">
        <v>6</v>
      </c>
      <c r="O16" s="145">
        <v>7.8</v>
      </c>
      <c r="P16" s="148">
        <f t="shared" si="3"/>
        <v>0.30708678</v>
      </c>
      <c r="Q16" s="145">
        <v>286</v>
      </c>
      <c r="R16" s="145">
        <v>66</v>
      </c>
      <c r="S16" s="146">
        <v>67</v>
      </c>
    </row>
    <row r="17" spans="2:20" ht="30" x14ac:dyDescent="0.25">
      <c r="B17" s="52" t="s">
        <v>85</v>
      </c>
      <c r="C17" s="55" t="s">
        <v>35</v>
      </c>
      <c r="D17" s="129">
        <v>300</v>
      </c>
      <c r="E17" s="84">
        <v>212.1</v>
      </c>
      <c r="F17" s="84">
        <v>2.48</v>
      </c>
      <c r="G17" s="85">
        <v>85.52</v>
      </c>
      <c r="H17" s="84">
        <v>527</v>
      </c>
      <c r="I17" s="124">
        <v>0.38</v>
      </c>
      <c r="J17" s="71">
        <v>0.4</v>
      </c>
      <c r="K17" s="35">
        <v>-8</v>
      </c>
      <c r="L17" s="56">
        <v>20</v>
      </c>
      <c r="M17" s="76">
        <v>400</v>
      </c>
      <c r="N17" s="77">
        <v>5</v>
      </c>
      <c r="O17" s="77">
        <v>6.5</v>
      </c>
      <c r="P17" s="109">
        <f t="shared" si="3"/>
        <v>0.25590564999999998</v>
      </c>
      <c r="Q17" s="77">
        <v>286</v>
      </c>
      <c r="R17" s="77">
        <v>23</v>
      </c>
      <c r="S17" s="78" t="s">
        <v>87</v>
      </c>
    </row>
    <row r="18" spans="2:20" ht="30" x14ac:dyDescent="0.25">
      <c r="B18" s="52" t="s">
        <v>86</v>
      </c>
      <c r="C18" s="131" t="s">
        <v>135</v>
      </c>
      <c r="D18" s="129" t="s">
        <v>79</v>
      </c>
      <c r="E18" s="122" t="s">
        <v>79</v>
      </c>
      <c r="F18" s="122" t="s">
        <v>79</v>
      </c>
      <c r="G18" s="122" t="s">
        <v>79</v>
      </c>
      <c r="H18" s="122" t="s">
        <v>79</v>
      </c>
      <c r="I18" s="125" t="s">
        <v>79</v>
      </c>
      <c r="J18" s="71">
        <v>0.4</v>
      </c>
      <c r="K18" s="35">
        <v>-8</v>
      </c>
      <c r="L18" s="56">
        <v>20</v>
      </c>
      <c r="M18" s="76">
        <v>174</v>
      </c>
      <c r="N18" s="77">
        <v>5</v>
      </c>
      <c r="O18" s="77">
        <v>3.5</v>
      </c>
      <c r="P18" s="109">
        <f t="shared" si="3"/>
        <v>0.13779534999999998</v>
      </c>
      <c r="Q18" s="77" t="s">
        <v>79</v>
      </c>
      <c r="R18" s="77" t="s">
        <v>79</v>
      </c>
      <c r="S18" s="78" t="s">
        <v>79</v>
      </c>
    </row>
    <row r="19" spans="2:20" ht="30.75" thickBot="1" x14ac:dyDescent="0.3">
      <c r="B19" s="136" t="s">
        <v>96</v>
      </c>
      <c r="C19" s="155" t="s">
        <v>135</v>
      </c>
      <c r="D19" s="130" t="s">
        <v>79</v>
      </c>
      <c r="E19" s="68" t="s">
        <v>79</v>
      </c>
      <c r="F19" s="68" t="s">
        <v>79</v>
      </c>
      <c r="G19" s="68" t="s">
        <v>79</v>
      </c>
      <c r="H19" s="68" t="s">
        <v>79</v>
      </c>
      <c r="I19" s="126" t="s">
        <v>79</v>
      </c>
      <c r="J19" s="72">
        <v>0.4</v>
      </c>
      <c r="K19" s="57">
        <v>-8</v>
      </c>
      <c r="L19" s="58">
        <v>20</v>
      </c>
      <c r="M19" s="79">
        <v>289</v>
      </c>
      <c r="N19" s="80">
        <v>5</v>
      </c>
      <c r="O19" s="80">
        <v>5.2</v>
      </c>
      <c r="P19" s="110">
        <f t="shared" si="3"/>
        <v>0.20472451999999999</v>
      </c>
      <c r="Q19" s="80" t="s">
        <v>79</v>
      </c>
      <c r="R19" s="80" t="s">
        <v>79</v>
      </c>
      <c r="S19" s="81" t="s">
        <v>79</v>
      </c>
    </row>
    <row r="20" spans="2:20" ht="45" x14ac:dyDescent="0.25">
      <c r="B20" s="51" t="s">
        <v>100</v>
      </c>
      <c r="C20" s="54" t="s">
        <v>35</v>
      </c>
      <c r="D20" s="127">
        <v>300</v>
      </c>
      <c r="E20" s="48">
        <v>212.1</v>
      </c>
      <c r="F20" s="48">
        <v>2.48</v>
      </c>
      <c r="G20" s="49">
        <f>E20/F20</f>
        <v>85.524193548387089</v>
      </c>
      <c r="H20" s="48">
        <v>527</v>
      </c>
      <c r="I20" s="123">
        <v>0.38</v>
      </c>
      <c r="J20" s="149">
        <v>0.4</v>
      </c>
      <c r="K20" s="150">
        <v>-8</v>
      </c>
      <c r="L20" s="151">
        <v>20</v>
      </c>
      <c r="M20" s="73">
        <v>400</v>
      </c>
      <c r="N20" s="152">
        <v>2</v>
      </c>
      <c r="O20" s="152">
        <v>2.1</v>
      </c>
      <c r="P20" s="153">
        <f t="shared" si="3"/>
        <v>8.2677210000000001E-2</v>
      </c>
      <c r="Q20" s="152">
        <v>437</v>
      </c>
      <c r="R20" s="152">
        <v>47</v>
      </c>
      <c r="S20" s="156" t="s">
        <v>111</v>
      </c>
    </row>
    <row r="21" spans="2:20" ht="30" x14ac:dyDescent="0.25">
      <c r="B21" s="52" t="s">
        <v>101</v>
      </c>
      <c r="C21" s="55" t="s">
        <v>35</v>
      </c>
      <c r="D21" s="129">
        <v>300</v>
      </c>
      <c r="E21" s="84">
        <v>212.1</v>
      </c>
      <c r="F21" s="84">
        <v>2.48</v>
      </c>
      <c r="G21" s="85">
        <f>E21/F21</f>
        <v>85.524193548387089</v>
      </c>
      <c r="H21" s="84">
        <v>527</v>
      </c>
      <c r="I21" s="124">
        <v>0.38</v>
      </c>
      <c r="J21" s="71">
        <v>0.4</v>
      </c>
      <c r="K21" s="35">
        <v>-8</v>
      </c>
      <c r="L21" s="56">
        <v>20</v>
      </c>
      <c r="M21" s="76">
        <v>400</v>
      </c>
      <c r="N21" s="77">
        <v>2</v>
      </c>
      <c r="O21" s="77">
        <v>2</v>
      </c>
      <c r="P21" s="109">
        <f t="shared" si="3"/>
        <v>7.8740199999999996E-2</v>
      </c>
      <c r="Q21" s="77">
        <v>437</v>
      </c>
      <c r="R21" s="77" t="s">
        <v>112</v>
      </c>
      <c r="S21" s="78" t="s">
        <v>112</v>
      </c>
    </row>
    <row r="22" spans="2:20" ht="30" x14ac:dyDescent="0.25">
      <c r="B22" s="138" t="s">
        <v>102</v>
      </c>
      <c r="C22" s="139" t="s">
        <v>35</v>
      </c>
      <c r="D22" s="140">
        <v>300</v>
      </c>
      <c r="E22" s="141">
        <v>212.1</v>
      </c>
      <c r="F22" s="141">
        <v>2.48</v>
      </c>
      <c r="G22" s="142">
        <f t="shared" ref="G22:G26" si="4">E22/F22</f>
        <v>85.524193548387089</v>
      </c>
      <c r="H22" s="141">
        <v>527</v>
      </c>
      <c r="I22" s="143">
        <v>0.38</v>
      </c>
      <c r="J22" s="144">
        <v>0.4</v>
      </c>
      <c r="K22" s="145">
        <v>-8</v>
      </c>
      <c r="L22" s="146">
        <v>20</v>
      </c>
      <c r="M22" s="140">
        <v>400</v>
      </c>
      <c r="N22" s="145">
        <v>3</v>
      </c>
      <c r="O22" s="145">
        <v>2.9</v>
      </c>
      <c r="P22" s="148">
        <f t="shared" si="3"/>
        <v>0.11417329</v>
      </c>
      <c r="Q22" s="145">
        <v>437</v>
      </c>
      <c r="R22" s="145">
        <v>24</v>
      </c>
      <c r="S22" s="146">
        <v>31</v>
      </c>
    </row>
    <row r="23" spans="2:20" ht="30.75" thickBot="1" x14ac:dyDescent="0.3">
      <c r="B23" s="159" t="s">
        <v>103</v>
      </c>
      <c r="C23" s="160" t="s">
        <v>35</v>
      </c>
      <c r="D23" s="161">
        <v>300</v>
      </c>
      <c r="E23" s="162">
        <v>212.1</v>
      </c>
      <c r="F23" s="162">
        <v>2.48</v>
      </c>
      <c r="G23" s="163">
        <f t="shared" si="4"/>
        <v>85.524193548387089</v>
      </c>
      <c r="H23" s="162">
        <v>527</v>
      </c>
      <c r="I23" s="164">
        <v>0.38</v>
      </c>
      <c r="J23" s="165">
        <v>0.4</v>
      </c>
      <c r="K23" s="166">
        <v>-8</v>
      </c>
      <c r="L23" s="167">
        <v>20</v>
      </c>
      <c r="M23" s="161">
        <v>400</v>
      </c>
      <c r="N23" s="166">
        <v>3</v>
      </c>
      <c r="O23" s="166">
        <v>2.8</v>
      </c>
      <c r="P23" s="168">
        <f t="shared" si="3"/>
        <v>0.11023627999999999</v>
      </c>
      <c r="Q23" s="166">
        <v>437</v>
      </c>
      <c r="R23" s="166">
        <v>36</v>
      </c>
      <c r="S23" s="167">
        <v>37</v>
      </c>
    </row>
    <row r="24" spans="2:20" ht="30" x14ac:dyDescent="0.25">
      <c r="B24" s="178" t="s">
        <v>104</v>
      </c>
      <c r="C24" s="54" t="s">
        <v>35</v>
      </c>
      <c r="D24" s="127">
        <v>300</v>
      </c>
      <c r="E24" s="48">
        <v>212.1</v>
      </c>
      <c r="F24" s="48">
        <v>2.4500000000000002</v>
      </c>
      <c r="G24" s="49">
        <f t="shared" si="4"/>
        <v>86.571428571428569</v>
      </c>
      <c r="H24" s="48">
        <v>520</v>
      </c>
      <c r="I24" s="123">
        <v>0.38</v>
      </c>
      <c r="J24" s="149">
        <v>0.4</v>
      </c>
      <c r="K24" s="150">
        <v>-8</v>
      </c>
      <c r="L24" s="182">
        <v>20</v>
      </c>
      <c r="M24" s="184">
        <v>400</v>
      </c>
      <c r="N24" s="152">
        <v>3</v>
      </c>
      <c r="O24" s="169">
        <v>3</v>
      </c>
      <c r="P24" s="153">
        <f t="shared" si="3"/>
        <v>0.1181103</v>
      </c>
      <c r="Q24" s="152">
        <v>369</v>
      </c>
      <c r="R24" s="152">
        <v>55</v>
      </c>
      <c r="S24" s="154">
        <v>56</v>
      </c>
      <c r="T24" s="422" t="s">
        <v>122</v>
      </c>
    </row>
    <row r="25" spans="2:20" ht="45" x14ac:dyDescent="0.25">
      <c r="B25" s="179" t="s">
        <v>105</v>
      </c>
      <c r="C25" s="55" t="s">
        <v>35</v>
      </c>
      <c r="D25" s="129">
        <v>300</v>
      </c>
      <c r="E25" s="84">
        <v>212.1</v>
      </c>
      <c r="F25" s="84">
        <v>2.4500000000000002</v>
      </c>
      <c r="G25" s="85">
        <f t="shared" si="4"/>
        <v>86.571428571428569</v>
      </c>
      <c r="H25" s="84">
        <v>520</v>
      </c>
      <c r="I25" s="124">
        <v>0.38</v>
      </c>
      <c r="J25" s="71">
        <v>0.4</v>
      </c>
      <c r="K25" s="35">
        <v>-8</v>
      </c>
      <c r="L25" s="183">
        <v>20</v>
      </c>
      <c r="M25" s="158">
        <v>400</v>
      </c>
      <c r="N25" s="77">
        <v>3</v>
      </c>
      <c r="O25" s="77">
        <v>2.6</v>
      </c>
      <c r="P25" s="109">
        <f t="shared" si="3"/>
        <v>0.10236226</v>
      </c>
      <c r="Q25" s="77">
        <v>369</v>
      </c>
      <c r="R25" s="77">
        <v>56</v>
      </c>
      <c r="S25" s="170" t="s">
        <v>113</v>
      </c>
      <c r="T25" s="423"/>
    </row>
    <row r="26" spans="2:20" ht="45" x14ac:dyDescent="0.25">
      <c r="B26" s="179" t="s">
        <v>106</v>
      </c>
      <c r="C26" s="55" t="s">
        <v>35</v>
      </c>
      <c r="D26" s="129">
        <v>300</v>
      </c>
      <c r="E26" s="84">
        <v>212.1</v>
      </c>
      <c r="F26" s="84">
        <v>2.4500000000000002</v>
      </c>
      <c r="G26" s="85">
        <f t="shared" si="4"/>
        <v>86.571428571428569</v>
      </c>
      <c r="H26" s="84">
        <v>520</v>
      </c>
      <c r="I26" s="124">
        <v>0.38</v>
      </c>
      <c r="J26" s="71">
        <v>0.4</v>
      </c>
      <c r="K26" s="35">
        <v>-8</v>
      </c>
      <c r="L26" s="183">
        <v>20</v>
      </c>
      <c r="M26" s="158">
        <v>400</v>
      </c>
      <c r="N26" s="77">
        <v>4</v>
      </c>
      <c r="O26" s="157">
        <v>3.9</v>
      </c>
      <c r="P26" s="109">
        <f t="shared" si="3"/>
        <v>0.15354339</v>
      </c>
      <c r="Q26" s="77">
        <v>369</v>
      </c>
      <c r="R26" s="77">
        <v>83</v>
      </c>
      <c r="S26" s="170" t="s">
        <v>114</v>
      </c>
      <c r="T26" s="423"/>
    </row>
    <row r="27" spans="2:20" ht="30" x14ac:dyDescent="0.25">
      <c r="B27" s="180" t="s">
        <v>107</v>
      </c>
      <c r="C27" s="171" t="s">
        <v>35</v>
      </c>
      <c r="D27" s="172">
        <v>300</v>
      </c>
      <c r="E27" s="173">
        <v>212.1</v>
      </c>
      <c r="F27" s="173">
        <v>2.4500000000000002</v>
      </c>
      <c r="G27" s="174">
        <v>86.571428571428569</v>
      </c>
      <c r="H27" s="173">
        <v>520</v>
      </c>
      <c r="I27" s="175">
        <v>0.38</v>
      </c>
      <c r="J27" s="176">
        <v>0.4</v>
      </c>
      <c r="K27" s="177">
        <v>-8</v>
      </c>
      <c r="L27" s="181">
        <v>20</v>
      </c>
      <c r="M27" s="158">
        <v>400</v>
      </c>
      <c r="N27" s="77">
        <v>4</v>
      </c>
      <c r="O27" s="77">
        <v>3.7</v>
      </c>
      <c r="P27" s="109">
        <f t="shared" si="3"/>
        <v>0.14566936999999999</v>
      </c>
      <c r="Q27" s="77">
        <v>369</v>
      </c>
      <c r="R27" s="77">
        <v>31</v>
      </c>
      <c r="S27" s="185" t="s">
        <v>87</v>
      </c>
      <c r="T27" s="423"/>
    </row>
    <row r="28" spans="2:20" ht="30.75" thickBot="1" x14ac:dyDescent="0.3">
      <c r="B28" s="180" t="s">
        <v>115</v>
      </c>
      <c r="C28" s="186" t="s">
        <v>35</v>
      </c>
      <c r="D28" s="187">
        <v>300</v>
      </c>
      <c r="E28" s="188">
        <v>212.1</v>
      </c>
      <c r="F28" s="188">
        <v>2.4500000000000002</v>
      </c>
      <c r="G28" s="189">
        <f>E28/F28</f>
        <v>86.571428571428569</v>
      </c>
      <c r="H28" s="188">
        <v>520</v>
      </c>
      <c r="I28" s="190">
        <v>0.38</v>
      </c>
      <c r="J28" s="191">
        <v>0.4</v>
      </c>
      <c r="K28" s="192">
        <v>-8</v>
      </c>
      <c r="L28" s="193">
        <v>20</v>
      </c>
      <c r="M28" s="194">
        <v>400</v>
      </c>
      <c r="N28" s="195">
        <v>4</v>
      </c>
      <c r="O28" s="195">
        <v>3.7</v>
      </c>
      <c r="P28" s="196">
        <f>0.0393701*O28</f>
        <v>0.14566936999999999</v>
      </c>
      <c r="Q28" s="195">
        <v>369</v>
      </c>
      <c r="R28" s="195">
        <v>23</v>
      </c>
      <c r="S28" s="197" t="s">
        <v>87</v>
      </c>
      <c r="T28" s="424"/>
    </row>
    <row r="29" spans="2:20" ht="16.5" thickBot="1" x14ac:dyDescent="0.3">
      <c r="B29" s="413" t="s">
        <v>108</v>
      </c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5"/>
    </row>
    <row r="30" spans="2:20" ht="30" x14ac:dyDescent="0.25">
      <c r="B30" s="214" t="s">
        <v>116</v>
      </c>
      <c r="C30" s="215" t="s">
        <v>109</v>
      </c>
      <c r="D30" s="216">
        <v>300</v>
      </c>
      <c r="E30" s="271">
        <v>212.1</v>
      </c>
      <c r="F30" s="217">
        <v>2.4500000000000002</v>
      </c>
      <c r="G30" s="218">
        <f>E30/F30</f>
        <v>86.571428571428569</v>
      </c>
      <c r="H30" s="217">
        <v>520</v>
      </c>
      <c r="I30" s="219">
        <v>0.38</v>
      </c>
      <c r="J30" s="220">
        <v>0.4</v>
      </c>
      <c r="K30" s="217">
        <v>-8</v>
      </c>
      <c r="L30" s="221">
        <v>20</v>
      </c>
      <c r="M30" s="216">
        <v>400</v>
      </c>
      <c r="N30" s="222">
        <v>4</v>
      </c>
      <c r="O30" s="349">
        <v>5</v>
      </c>
      <c r="P30" s="223">
        <f>0.0393701*O30</f>
        <v>0.19685049999999998</v>
      </c>
      <c r="Q30" s="222">
        <v>369</v>
      </c>
      <c r="R30" s="222">
        <v>25</v>
      </c>
      <c r="S30" s="224">
        <v>26</v>
      </c>
    </row>
    <row r="31" spans="2:20" ht="30" x14ac:dyDescent="0.25">
      <c r="B31" s="52" t="s">
        <v>117</v>
      </c>
      <c r="C31" s="55" t="s">
        <v>109</v>
      </c>
      <c r="D31" s="129">
        <v>275</v>
      </c>
      <c r="E31" s="272">
        <f>D31*0.707</f>
        <v>194.42499999999998</v>
      </c>
      <c r="F31" s="84">
        <v>2.29</v>
      </c>
      <c r="G31" s="85">
        <f>E31/F31</f>
        <v>84.901746724890828</v>
      </c>
      <c r="H31" s="84">
        <v>445</v>
      </c>
      <c r="I31" s="124">
        <v>0.32500000000000001</v>
      </c>
      <c r="J31" s="71">
        <v>0.4</v>
      </c>
      <c r="K31" s="35">
        <v>-8</v>
      </c>
      <c r="L31" s="56">
        <v>20</v>
      </c>
      <c r="M31" s="76">
        <v>400</v>
      </c>
      <c r="N31" s="77">
        <v>4</v>
      </c>
      <c r="O31" s="77">
        <v>5.0999999999999996</v>
      </c>
      <c r="P31" s="109">
        <f>0.0393701*O31</f>
        <v>0.20078750999999997</v>
      </c>
      <c r="Q31" s="77">
        <v>369</v>
      </c>
      <c r="R31" s="77">
        <v>33</v>
      </c>
      <c r="S31" s="78">
        <v>43</v>
      </c>
    </row>
    <row r="32" spans="2:20" ht="30" x14ac:dyDescent="0.25">
      <c r="B32" s="52" t="s">
        <v>118</v>
      </c>
      <c r="C32" s="55" t="s">
        <v>109</v>
      </c>
      <c r="D32" s="129">
        <v>250</v>
      </c>
      <c r="E32" s="272">
        <f>0.707*D32</f>
        <v>176.75</v>
      </c>
      <c r="F32" s="85">
        <v>2.11</v>
      </c>
      <c r="G32" s="85">
        <f>E32/F32</f>
        <v>83.767772511848349</v>
      </c>
      <c r="H32" s="84">
        <v>371</v>
      </c>
      <c r="I32" s="124">
        <v>0.27</v>
      </c>
      <c r="J32" s="71">
        <v>0.4</v>
      </c>
      <c r="K32" s="35">
        <v>-8</v>
      </c>
      <c r="L32" s="56">
        <v>20</v>
      </c>
      <c r="M32" s="76">
        <v>400</v>
      </c>
      <c r="N32" s="77">
        <v>4</v>
      </c>
      <c r="O32" s="77">
        <v>5.2</v>
      </c>
      <c r="P32" s="109">
        <f>0.0393701*O32</f>
        <v>0.20472451999999999</v>
      </c>
      <c r="Q32" s="77">
        <v>369</v>
      </c>
      <c r="R32" s="77">
        <v>82</v>
      </c>
      <c r="S32" s="78">
        <v>83</v>
      </c>
    </row>
    <row r="33" spans="2:19" ht="30.75" thickBot="1" x14ac:dyDescent="0.3">
      <c r="B33" s="53" t="s">
        <v>119</v>
      </c>
      <c r="C33" s="137" t="s">
        <v>109</v>
      </c>
      <c r="D33" s="130">
        <v>225</v>
      </c>
      <c r="E33" s="273">
        <f>0.707*D33</f>
        <v>159.07499999999999</v>
      </c>
      <c r="F33" s="199">
        <v>1.96</v>
      </c>
      <c r="G33" s="200">
        <f>E33/F33</f>
        <v>81.160714285714278</v>
      </c>
      <c r="H33" s="199">
        <v>311</v>
      </c>
      <c r="I33" s="201">
        <v>0.22700000000000001</v>
      </c>
      <c r="J33" s="72">
        <v>0.4</v>
      </c>
      <c r="K33" s="57">
        <v>-8</v>
      </c>
      <c r="L33" s="58">
        <v>20</v>
      </c>
      <c r="M33" s="79">
        <v>400</v>
      </c>
      <c r="N33" s="80">
        <v>4</v>
      </c>
      <c r="O33" s="80">
        <v>4.8</v>
      </c>
      <c r="P33" s="110">
        <f>0.0393701*O33</f>
        <v>0.18897647999999997</v>
      </c>
      <c r="Q33" s="80">
        <v>369</v>
      </c>
      <c r="R33" s="202" t="s">
        <v>120</v>
      </c>
      <c r="S33" s="203" t="s">
        <v>121</v>
      </c>
    </row>
    <row r="34" spans="2:19" ht="21.75" thickBot="1" x14ac:dyDescent="0.3">
      <c r="B34" s="416" t="s">
        <v>180</v>
      </c>
      <c r="C34" s="417"/>
      <c r="D34" s="417"/>
      <c r="E34" s="417"/>
      <c r="F34" s="417"/>
      <c r="G34" s="417"/>
      <c r="H34" s="417"/>
      <c r="I34" s="417"/>
      <c r="J34" s="417"/>
      <c r="K34" s="417"/>
      <c r="L34" s="417"/>
      <c r="M34" s="417"/>
      <c r="N34" s="417"/>
      <c r="O34" s="417"/>
      <c r="P34" s="417"/>
      <c r="Q34" s="417"/>
      <c r="R34" s="417"/>
      <c r="S34" s="417"/>
    </row>
    <row r="35" spans="2:19" ht="16.5" thickBot="1" x14ac:dyDescent="0.3">
      <c r="B35" s="413" t="s">
        <v>110</v>
      </c>
      <c r="C35" s="414"/>
      <c r="D35" s="414"/>
      <c r="E35" s="414"/>
      <c r="F35" s="414"/>
      <c r="G35" s="414"/>
      <c r="H35" s="414"/>
      <c r="I35" s="414"/>
      <c r="J35" s="414"/>
      <c r="K35" s="414"/>
      <c r="L35" s="414"/>
      <c r="M35" s="414"/>
      <c r="N35" s="414"/>
      <c r="O35" s="414"/>
      <c r="P35" s="414"/>
      <c r="Q35" s="414"/>
      <c r="R35" s="414"/>
      <c r="S35" s="414"/>
    </row>
    <row r="36" spans="2:19" ht="30.75" thickBot="1" x14ac:dyDescent="0.3">
      <c r="B36" s="235"/>
      <c r="C36" s="229" t="s">
        <v>33</v>
      </c>
      <c r="D36" s="234" t="s">
        <v>65</v>
      </c>
      <c r="E36" s="230" t="s">
        <v>63</v>
      </c>
      <c r="F36" s="234" t="s">
        <v>64</v>
      </c>
      <c r="G36" s="230" t="s">
        <v>66</v>
      </c>
      <c r="H36" s="234" t="s">
        <v>67</v>
      </c>
      <c r="I36" s="230" t="s">
        <v>68</v>
      </c>
      <c r="J36" s="234" t="s">
        <v>98</v>
      </c>
      <c r="K36" s="231" t="s">
        <v>210</v>
      </c>
      <c r="L36" s="234" t="s">
        <v>69</v>
      </c>
      <c r="M36" s="232" t="s">
        <v>23</v>
      </c>
      <c r="N36" s="234" t="s">
        <v>70</v>
      </c>
      <c r="O36" s="230" t="s">
        <v>71</v>
      </c>
      <c r="P36" s="234" t="s">
        <v>72</v>
      </c>
      <c r="Q36" s="232" t="s">
        <v>24</v>
      </c>
      <c r="R36" s="234" t="s">
        <v>73</v>
      </c>
      <c r="S36" s="233" t="s">
        <v>74</v>
      </c>
    </row>
    <row r="37" spans="2:19" ht="30" x14ac:dyDescent="0.25">
      <c r="B37" s="178" t="s">
        <v>130</v>
      </c>
      <c r="C37" s="54" t="s">
        <v>35</v>
      </c>
      <c r="D37" s="128">
        <v>300</v>
      </c>
      <c r="E37" s="188">
        <f>0.707*D37</f>
        <v>212.1</v>
      </c>
      <c r="F37" s="226">
        <v>2.48</v>
      </c>
      <c r="G37" s="336">
        <f>E37/F37</f>
        <v>85.524193548387089</v>
      </c>
      <c r="H37" s="226">
        <v>527</v>
      </c>
      <c r="I37" s="312">
        <v>0.38500000000000001</v>
      </c>
      <c r="J37" s="69">
        <v>0.4</v>
      </c>
      <c r="K37" s="50">
        <v>-8</v>
      </c>
      <c r="L37" s="70">
        <v>20</v>
      </c>
      <c r="M37" s="184">
        <v>400</v>
      </c>
      <c r="N37" s="74">
        <v>3</v>
      </c>
      <c r="O37" s="348">
        <v>3.5</v>
      </c>
      <c r="P37" s="331">
        <f>0.0393701*O37</f>
        <v>0.13779534999999998</v>
      </c>
      <c r="Q37" s="74">
        <v>437</v>
      </c>
      <c r="R37" s="314">
        <v>22</v>
      </c>
      <c r="S37" s="315">
        <v>24</v>
      </c>
    </row>
    <row r="38" spans="2:19" ht="30" x14ac:dyDescent="0.25">
      <c r="B38" s="179" t="s">
        <v>131</v>
      </c>
      <c r="C38" s="55" t="s">
        <v>35</v>
      </c>
      <c r="D38" s="129">
        <v>300</v>
      </c>
      <c r="E38" s="188">
        <f t="shared" ref="E38:E40" si="5">0.707*D38</f>
        <v>212.1</v>
      </c>
      <c r="F38" s="204"/>
      <c r="G38" s="38"/>
      <c r="H38" s="204"/>
      <c r="I38" s="313"/>
      <c r="J38" s="238">
        <v>0.4</v>
      </c>
      <c r="K38" s="198">
        <v>-8</v>
      </c>
      <c r="L38" s="239">
        <v>20</v>
      </c>
      <c r="M38" s="158">
        <v>400</v>
      </c>
      <c r="N38" s="77">
        <v>3</v>
      </c>
      <c r="O38" s="204"/>
      <c r="P38" s="311"/>
      <c r="Q38" s="77">
        <v>437</v>
      </c>
      <c r="R38" s="204"/>
      <c r="S38" s="113"/>
    </row>
    <row r="39" spans="2:19" ht="30" x14ac:dyDescent="0.25">
      <c r="B39" s="179" t="s">
        <v>132</v>
      </c>
      <c r="C39" s="55" t="s">
        <v>35</v>
      </c>
      <c r="D39" s="129">
        <v>300</v>
      </c>
      <c r="E39" s="188">
        <f t="shared" si="5"/>
        <v>212.1</v>
      </c>
      <c r="F39" s="204">
        <v>2.48</v>
      </c>
      <c r="G39" s="38">
        <f>E39/F39</f>
        <v>85.524193548387089</v>
      </c>
      <c r="H39" s="204">
        <v>527</v>
      </c>
      <c r="I39" s="313">
        <v>0.38500000000000001</v>
      </c>
      <c r="J39" s="238">
        <v>0.4</v>
      </c>
      <c r="K39" s="198">
        <v>-8</v>
      </c>
      <c r="L39" s="239">
        <v>20</v>
      </c>
      <c r="M39" s="158">
        <v>400</v>
      </c>
      <c r="N39" s="77">
        <v>4</v>
      </c>
      <c r="O39" s="204">
        <v>5.0999999999999996</v>
      </c>
      <c r="P39" s="311">
        <f>0.0393701*O39</f>
        <v>0.20078750999999997</v>
      </c>
      <c r="Q39" s="77">
        <v>369</v>
      </c>
      <c r="R39" s="204">
        <v>25</v>
      </c>
      <c r="S39" s="113">
        <v>26</v>
      </c>
    </row>
    <row r="40" spans="2:19" ht="30.75" thickBot="1" x14ac:dyDescent="0.3">
      <c r="B40" s="243" t="s">
        <v>133</v>
      </c>
      <c r="C40" s="137" t="s">
        <v>35</v>
      </c>
      <c r="D40" s="129">
        <v>300</v>
      </c>
      <c r="E40" s="188">
        <f t="shared" si="5"/>
        <v>212.1</v>
      </c>
      <c r="F40" s="204"/>
      <c r="G40" s="38"/>
      <c r="H40" s="204"/>
      <c r="I40" s="313"/>
      <c r="J40" s="240">
        <v>0.4</v>
      </c>
      <c r="K40" s="241">
        <v>-8</v>
      </c>
      <c r="L40" s="242">
        <v>20</v>
      </c>
      <c r="M40" s="246">
        <v>400</v>
      </c>
      <c r="N40" s="80">
        <v>4</v>
      </c>
      <c r="O40" s="227"/>
      <c r="P40" s="332"/>
      <c r="Q40" s="80">
        <v>369</v>
      </c>
      <c r="R40" s="227"/>
      <c r="S40" s="206"/>
    </row>
    <row r="41" spans="2:19" ht="16.5" thickBot="1" x14ac:dyDescent="0.3">
      <c r="B41" s="413" t="s">
        <v>141</v>
      </c>
      <c r="C41" s="414"/>
      <c r="D41" s="414"/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</row>
    <row r="42" spans="2:19" ht="30" x14ac:dyDescent="0.25">
      <c r="B42" s="178" t="s">
        <v>134</v>
      </c>
      <c r="C42" s="249" t="s">
        <v>135</v>
      </c>
      <c r="D42" s="251" t="s">
        <v>79</v>
      </c>
      <c r="E42" s="252" t="s">
        <v>79</v>
      </c>
      <c r="F42" s="252" t="s">
        <v>79</v>
      </c>
      <c r="G42" s="252" t="s">
        <v>79</v>
      </c>
      <c r="H42" s="252" t="s">
        <v>79</v>
      </c>
      <c r="I42" s="253" t="s">
        <v>79</v>
      </c>
      <c r="J42" s="69">
        <v>0.4</v>
      </c>
      <c r="K42" s="50">
        <v>-8</v>
      </c>
      <c r="L42" s="70">
        <v>20</v>
      </c>
      <c r="M42" s="73">
        <v>174</v>
      </c>
      <c r="N42" s="74">
        <v>3</v>
      </c>
      <c r="O42" s="314">
        <v>2.2999999999999998</v>
      </c>
      <c r="P42" s="331">
        <f>0.0393701*O42</f>
        <v>9.0551229999999983E-2</v>
      </c>
      <c r="Q42" s="74" t="s">
        <v>79</v>
      </c>
      <c r="R42" s="74" t="s">
        <v>79</v>
      </c>
      <c r="S42" s="75" t="s">
        <v>79</v>
      </c>
    </row>
    <row r="43" spans="2:19" ht="30" x14ac:dyDescent="0.25">
      <c r="B43" s="179" t="s">
        <v>136</v>
      </c>
      <c r="C43" s="131" t="s">
        <v>135</v>
      </c>
      <c r="D43" s="248" t="s">
        <v>79</v>
      </c>
      <c r="E43" s="236" t="s">
        <v>79</v>
      </c>
      <c r="F43" s="236" t="s">
        <v>79</v>
      </c>
      <c r="G43" s="236" t="s">
        <v>79</v>
      </c>
      <c r="H43" s="236" t="s">
        <v>79</v>
      </c>
      <c r="I43" s="247" t="s">
        <v>79</v>
      </c>
      <c r="J43" s="238">
        <v>0.4</v>
      </c>
      <c r="K43" s="198">
        <v>-8</v>
      </c>
      <c r="L43" s="239">
        <v>20</v>
      </c>
      <c r="M43" s="76">
        <v>289</v>
      </c>
      <c r="N43" s="77">
        <v>3</v>
      </c>
      <c r="O43" s="204">
        <v>3.4</v>
      </c>
      <c r="P43" s="311">
        <f>0.0393701*O43</f>
        <v>0.13385833999999999</v>
      </c>
      <c r="Q43" s="77" t="s">
        <v>79</v>
      </c>
      <c r="R43" s="77" t="s">
        <v>79</v>
      </c>
      <c r="S43" s="78" t="s">
        <v>79</v>
      </c>
    </row>
    <row r="44" spans="2:19" ht="30" x14ac:dyDescent="0.25">
      <c r="B44" s="179" t="s">
        <v>137</v>
      </c>
      <c r="C44" s="131" t="s">
        <v>135</v>
      </c>
      <c r="D44" s="248" t="s">
        <v>79</v>
      </c>
      <c r="E44" s="236" t="s">
        <v>79</v>
      </c>
      <c r="F44" s="236" t="s">
        <v>79</v>
      </c>
      <c r="G44" s="236" t="s">
        <v>79</v>
      </c>
      <c r="H44" s="236" t="s">
        <v>79</v>
      </c>
      <c r="I44" s="247" t="s">
        <v>79</v>
      </c>
      <c r="J44" s="238">
        <v>0.4</v>
      </c>
      <c r="K44" s="198">
        <v>-8</v>
      </c>
      <c r="L44" s="239">
        <v>20</v>
      </c>
      <c r="M44" s="76">
        <v>405</v>
      </c>
      <c r="N44" s="77">
        <v>3</v>
      </c>
      <c r="O44" s="204">
        <v>4.0999999999999996</v>
      </c>
      <c r="P44" s="311">
        <f t="shared" ref="P44:P47" si="6">0.0393701*O44</f>
        <v>0.16141740999999998</v>
      </c>
      <c r="Q44" s="77" t="s">
        <v>79</v>
      </c>
      <c r="R44" s="77" t="s">
        <v>79</v>
      </c>
      <c r="S44" s="78" t="s">
        <v>79</v>
      </c>
    </row>
    <row r="45" spans="2:19" ht="30" x14ac:dyDescent="0.25">
      <c r="B45" s="179" t="s">
        <v>138</v>
      </c>
      <c r="C45" s="131" t="s">
        <v>135</v>
      </c>
      <c r="D45" s="248" t="s">
        <v>79</v>
      </c>
      <c r="E45" s="236" t="s">
        <v>79</v>
      </c>
      <c r="F45" s="236" t="s">
        <v>79</v>
      </c>
      <c r="G45" s="236" t="s">
        <v>79</v>
      </c>
      <c r="H45" s="236" t="s">
        <v>79</v>
      </c>
      <c r="I45" s="247" t="s">
        <v>79</v>
      </c>
      <c r="J45" s="238">
        <v>0.4</v>
      </c>
      <c r="K45" s="198">
        <v>-8</v>
      </c>
      <c r="L45" s="239">
        <v>20</v>
      </c>
      <c r="M45" s="76">
        <v>174</v>
      </c>
      <c r="N45" s="77">
        <v>7</v>
      </c>
      <c r="O45" s="204">
        <v>5.3</v>
      </c>
      <c r="P45" s="311">
        <f t="shared" si="6"/>
        <v>0.20866152999999998</v>
      </c>
      <c r="Q45" s="77" t="s">
        <v>79</v>
      </c>
      <c r="R45" s="77" t="s">
        <v>79</v>
      </c>
      <c r="S45" s="78" t="s">
        <v>79</v>
      </c>
    </row>
    <row r="46" spans="2:19" ht="30" x14ac:dyDescent="0.25">
      <c r="B46" s="179" t="s">
        <v>139</v>
      </c>
      <c r="C46" s="131" t="s">
        <v>135</v>
      </c>
      <c r="D46" s="248" t="s">
        <v>79</v>
      </c>
      <c r="E46" s="236" t="s">
        <v>79</v>
      </c>
      <c r="F46" s="236" t="s">
        <v>79</v>
      </c>
      <c r="G46" s="236" t="s">
        <v>79</v>
      </c>
      <c r="H46" s="236" t="s">
        <v>79</v>
      </c>
      <c r="I46" s="247" t="s">
        <v>79</v>
      </c>
      <c r="J46" s="238">
        <v>0.4</v>
      </c>
      <c r="K46" s="198">
        <v>-8</v>
      </c>
      <c r="L46" s="239">
        <v>20</v>
      </c>
      <c r="M46" s="76">
        <v>289</v>
      </c>
      <c r="N46" s="77">
        <v>7</v>
      </c>
      <c r="O46" s="204">
        <v>7.4</v>
      </c>
      <c r="P46" s="311">
        <f t="shared" si="6"/>
        <v>0.29133873999999998</v>
      </c>
      <c r="Q46" s="77" t="s">
        <v>79</v>
      </c>
      <c r="R46" s="77" t="s">
        <v>79</v>
      </c>
      <c r="S46" s="78" t="s">
        <v>79</v>
      </c>
    </row>
    <row r="47" spans="2:19" ht="30.75" thickBot="1" x14ac:dyDescent="0.3">
      <c r="B47" s="243" t="s">
        <v>140</v>
      </c>
      <c r="C47" s="250" t="s">
        <v>135</v>
      </c>
      <c r="D47" s="254" t="s">
        <v>79</v>
      </c>
      <c r="E47" s="255" t="s">
        <v>79</v>
      </c>
      <c r="F47" s="255" t="s">
        <v>79</v>
      </c>
      <c r="G47" s="255" t="s">
        <v>79</v>
      </c>
      <c r="H47" s="255" t="s">
        <v>79</v>
      </c>
      <c r="I47" s="256" t="s">
        <v>79</v>
      </c>
      <c r="J47" s="240">
        <v>0.4</v>
      </c>
      <c r="K47" s="241">
        <v>-8</v>
      </c>
      <c r="L47" s="242">
        <v>20</v>
      </c>
      <c r="M47" s="79">
        <v>405</v>
      </c>
      <c r="N47" s="80">
        <v>7</v>
      </c>
      <c r="O47" s="227">
        <v>8.8000000000000007</v>
      </c>
      <c r="P47" s="311">
        <f t="shared" si="6"/>
        <v>0.34645688000000002</v>
      </c>
      <c r="Q47" s="80" t="s">
        <v>79</v>
      </c>
      <c r="R47" s="80" t="s">
        <v>79</v>
      </c>
      <c r="S47" s="81" t="s">
        <v>79</v>
      </c>
    </row>
    <row r="48" spans="2:19" ht="16.5" thickBot="1" x14ac:dyDescent="0.3">
      <c r="B48" s="413" t="s">
        <v>109</v>
      </c>
      <c r="C48" s="414"/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414"/>
      <c r="R48" s="414"/>
      <c r="S48" s="415"/>
    </row>
    <row r="49" spans="2:19" ht="30" x14ac:dyDescent="0.25">
      <c r="B49" s="178" t="s">
        <v>142</v>
      </c>
      <c r="C49" s="249" t="s">
        <v>109</v>
      </c>
      <c r="D49" s="127">
        <v>300</v>
      </c>
      <c r="E49" s="274">
        <f>0.707*D49</f>
        <v>212.1</v>
      </c>
      <c r="F49" s="314">
        <v>2.48</v>
      </c>
      <c r="G49" s="334">
        <f>E49/F49</f>
        <v>85.524193548387089</v>
      </c>
      <c r="H49" s="314">
        <v>527</v>
      </c>
      <c r="I49" s="316">
        <v>0.38500000000000001</v>
      </c>
      <c r="J49" s="69">
        <v>0.4</v>
      </c>
      <c r="K49" s="50">
        <v>-8</v>
      </c>
      <c r="L49" s="70">
        <v>20</v>
      </c>
      <c r="M49" s="184">
        <v>400</v>
      </c>
      <c r="N49" s="74">
        <v>6</v>
      </c>
      <c r="O49" s="348">
        <v>7.3</v>
      </c>
      <c r="P49" s="331">
        <f>0.0393701*O49</f>
        <v>0.28740172999999997</v>
      </c>
      <c r="Q49" s="74">
        <v>286</v>
      </c>
      <c r="R49" s="314">
        <v>18</v>
      </c>
      <c r="S49" s="315">
        <v>25</v>
      </c>
    </row>
    <row r="50" spans="2:19" ht="30" x14ac:dyDescent="0.25">
      <c r="B50" s="179" t="s">
        <v>143</v>
      </c>
      <c r="C50" s="131" t="s">
        <v>109</v>
      </c>
      <c r="D50" s="129">
        <v>275</v>
      </c>
      <c r="E50" s="275">
        <f t="shared" ref="E50:E56" si="7">0.707*D50</f>
        <v>194.42499999999998</v>
      </c>
      <c r="F50" s="204">
        <v>2.35</v>
      </c>
      <c r="G50" s="38">
        <f>E50/F50</f>
        <v>82.734042553191486</v>
      </c>
      <c r="H50" s="204">
        <v>457</v>
      </c>
      <c r="I50" s="354">
        <v>0.33</v>
      </c>
      <c r="J50" s="238">
        <v>0.4</v>
      </c>
      <c r="K50" s="205">
        <v>-8</v>
      </c>
      <c r="L50" s="239">
        <v>20</v>
      </c>
      <c r="M50" s="158">
        <v>400</v>
      </c>
      <c r="N50" s="77">
        <v>6</v>
      </c>
      <c r="O50" s="347">
        <v>6.8</v>
      </c>
      <c r="P50" s="311">
        <f>0.0393701*O50</f>
        <v>0.26771667999999998</v>
      </c>
      <c r="Q50" s="77">
        <v>286</v>
      </c>
      <c r="R50" s="204">
        <v>30</v>
      </c>
      <c r="S50" s="113">
        <v>34</v>
      </c>
    </row>
    <row r="51" spans="2:19" ht="30" x14ac:dyDescent="0.25">
      <c r="B51" s="179" t="s">
        <v>144</v>
      </c>
      <c r="C51" s="131" t="s">
        <v>109</v>
      </c>
      <c r="D51" s="129">
        <v>250</v>
      </c>
      <c r="E51" s="275">
        <f t="shared" si="7"/>
        <v>176.75</v>
      </c>
      <c r="F51" s="204">
        <v>2.12</v>
      </c>
      <c r="G51" s="38">
        <f t="shared" ref="G51:G52" si="8">E51/F51</f>
        <v>83.372641509433961</v>
      </c>
      <c r="H51" s="204">
        <v>375</v>
      </c>
      <c r="I51" s="353">
        <v>0.27</v>
      </c>
      <c r="J51" s="238">
        <v>0.4</v>
      </c>
      <c r="K51" s="205">
        <v>-8</v>
      </c>
      <c r="L51" s="239">
        <v>20</v>
      </c>
      <c r="M51" s="158">
        <v>400</v>
      </c>
      <c r="N51" s="77">
        <v>6</v>
      </c>
      <c r="O51" s="204">
        <v>7.3</v>
      </c>
      <c r="P51" s="311">
        <f t="shared" ref="P51:P52" si="9">0.0393701*O51</f>
        <v>0.28740172999999997</v>
      </c>
      <c r="Q51" s="77">
        <v>286</v>
      </c>
      <c r="R51" s="204">
        <v>64</v>
      </c>
      <c r="S51" s="113">
        <v>66</v>
      </c>
    </row>
    <row r="52" spans="2:19" ht="30.75" thickBot="1" x14ac:dyDescent="0.3">
      <c r="B52" s="180" t="s">
        <v>145</v>
      </c>
      <c r="C52" s="155" t="s">
        <v>109</v>
      </c>
      <c r="D52" s="172">
        <v>225</v>
      </c>
      <c r="E52" s="276">
        <f t="shared" si="7"/>
        <v>159.07499999999999</v>
      </c>
      <c r="F52" s="317">
        <v>1.96</v>
      </c>
      <c r="G52" s="38">
        <f t="shared" si="8"/>
        <v>81.160714285714278</v>
      </c>
      <c r="H52" s="317">
        <v>311</v>
      </c>
      <c r="I52" s="355">
        <v>0.22700000000000001</v>
      </c>
      <c r="J52" s="260">
        <v>0.4</v>
      </c>
      <c r="K52" s="261">
        <v>-8</v>
      </c>
      <c r="L52" s="262">
        <v>20</v>
      </c>
      <c r="M52" s="263">
        <v>400</v>
      </c>
      <c r="N52" s="264">
        <v>6</v>
      </c>
      <c r="O52" s="317">
        <v>7.3</v>
      </c>
      <c r="P52" s="311">
        <f t="shared" si="9"/>
        <v>0.28740172999999997</v>
      </c>
      <c r="Q52" s="264">
        <v>286</v>
      </c>
      <c r="R52" s="317">
        <v>73</v>
      </c>
      <c r="S52" s="319" t="s">
        <v>217</v>
      </c>
    </row>
    <row r="53" spans="2:19" ht="30" x14ac:dyDescent="0.25">
      <c r="B53" s="178" t="s">
        <v>146</v>
      </c>
      <c r="C53" s="249" t="s">
        <v>109</v>
      </c>
      <c r="D53" s="268">
        <v>300</v>
      </c>
      <c r="E53" s="274">
        <f t="shared" si="7"/>
        <v>212.1</v>
      </c>
      <c r="F53" s="314">
        <v>2.52</v>
      </c>
      <c r="G53" s="334">
        <f>E53/F53</f>
        <v>84.166666666666657</v>
      </c>
      <c r="H53" s="314">
        <v>533</v>
      </c>
      <c r="I53" s="316">
        <v>0.39</v>
      </c>
      <c r="J53" s="69">
        <v>0.4</v>
      </c>
      <c r="K53" s="50">
        <v>-8</v>
      </c>
      <c r="L53" s="70">
        <v>20</v>
      </c>
      <c r="M53" s="184">
        <v>400</v>
      </c>
      <c r="N53" s="74">
        <v>3</v>
      </c>
      <c r="O53" s="350">
        <v>3.7</v>
      </c>
      <c r="P53" s="331">
        <f>0.0393701*O53</f>
        <v>0.14566936999999999</v>
      </c>
      <c r="Q53" s="74">
        <v>437</v>
      </c>
      <c r="R53" s="314">
        <v>24</v>
      </c>
      <c r="S53" s="315">
        <v>25</v>
      </c>
    </row>
    <row r="54" spans="2:19" ht="30" x14ac:dyDescent="0.25">
      <c r="B54" s="179" t="s">
        <v>147</v>
      </c>
      <c r="C54" s="131" t="s">
        <v>109</v>
      </c>
      <c r="D54" s="269">
        <v>275</v>
      </c>
      <c r="E54" s="275">
        <f t="shared" si="7"/>
        <v>194.42499999999998</v>
      </c>
      <c r="F54" s="204">
        <v>2.3199999999999998</v>
      </c>
      <c r="G54" s="38">
        <f>E54/F54</f>
        <v>83.803879310344826</v>
      </c>
      <c r="H54" s="204">
        <v>451</v>
      </c>
      <c r="I54" s="313">
        <v>0.33</v>
      </c>
      <c r="J54" s="238">
        <v>0.4</v>
      </c>
      <c r="K54" s="205">
        <v>-8</v>
      </c>
      <c r="L54" s="239">
        <v>20</v>
      </c>
      <c r="M54" s="158">
        <v>400</v>
      </c>
      <c r="N54" s="77">
        <v>3</v>
      </c>
      <c r="O54" s="204">
        <v>3.7</v>
      </c>
      <c r="P54" s="311">
        <f>0.0393701*O54</f>
        <v>0.14566936999999999</v>
      </c>
      <c r="Q54" s="77">
        <v>437</v>
      </c>
      <c r="R54" s="204">
        <v>56</v>
      </c>
      <c r="S54" s="113">
        <v>57</v>
      </c>
    </row>
    <row r="55" spans="2:19" ht="30" x14ac:dyDescent="0.25">
      <c r="B55" s="179" t="s">
        <v>148</v>
      </c>
      <c r="C55" s="131" t="s">
        <v>109</v>
      </c>
      <c r="D55" s="269">
        <v>250</v>
      </c>
      <c r="E55" s="275">
        <f t="shared" si="7"/>
        <v>176.75</v>
      </c>
      <c r="F55" s="204">
        <v>2.16</v>
      </c>
      <c r="G55" s="38">
        <f t="shared" ref="G55:G56" si="10">E55/F55</f>
        <v>81.828703703703695</v>
      </c>
      <c r="H55" s="204">
        <v>381</v>
      </c>
      <c r="I55" s="313">
        <v>0.27800000000000002</v>
      </c>
      <c r="J55" s="238">
        <v>0.4</v>
      </c>
      <c r="K55" s="205">
        <v>-8</v>
      </c>
      <c r="L55" s="239">
        <v>20</v>
      </c>
      <c r="M55" s="158">
        <v>400</v>
      </c>
      <c r="N55" s="77">
        <v>3</v>
      </c>
      <c r="O55" s="204">
        <v>3.8</v>
      </c>
      <c r="P55" s="311">
        <f t="shared" ref="P55:P56" si="11">0.0393701*O55</f>
        <v>0.14960637999999998</v>
      </c>
      <c r="Q55" s="77">
        <v>437</v>
      </c>
      <c r="R55" s="204">
        <v>85</v>
      </c>
      <c r="S55" s="113">
        <v>86</v>
      </c>
    </row>
    <row r="56" spans="2:19" ht="30.75" thickBot="1" x14ac:dyDescent="0.3">
      <c r="B56" s="243" t="s">
        <v>149</v>
      </c>
      <c r="C56" s="250" t="s">
        <v>109</v>
      </c>
      <c r="D56" s="270">
        <v>225</v>
      </c>
      <c r="E56" s="277">
        <f t="shared" si="7"/>
        <v>159.07499999999999</v>
      </c>
      <c r="F56" s="227">
        <v>1.96</v>
      </c>
      <c r="G56" s="38">
        <f t="shared" si="10"/>
        <v>81.160714285714278</v>
      </c>
      <c r="H56" s="227">
        <v>311</v>
      </c>
      <c r="I56" s="320">
        <v>0.22700000000000001</v>
      </c>
      <c r="J56" s="240">
        <v>0.4</v>
      </c>
      <c r="K56" s="241">
        <v>-8</v>
      </c>
      <c r="L56" s="242">
        <v>20</v>
      </c>
      <c r="M56" s="246">
        <v>400</v>
      </c>
      <c r="N56" s="80">
        <v>3</v>
      </c>
      <c r="O56" s="227">
        <v>3.8</v>
      </c>
      <c r="P56" s="311">
        <f t="shared" si="11"/>
        <v>0.14960637999999998</v>
      </c>
      <c r="Q56" s="80">
        <v>437</v>
      </c>
      <c r="R56" s="227" t="s">
        <v>217</v>
      </c>
      <c r="S56" s="206" t="s">
        <v>217</v>
      </c>
    </row>
    <row r="57" spans="2:19" ht="21.75" thickBot="1" x14ac:dyDescent="0.3">
      <c r="B57" s="416" t="s">
        <v>179</v>
      </c>
      <c r="C57" s="417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R57" s="417"/>
      <c r="S57" s="417"/>
    </row>
    <row r="58" spans="2:19" ht="16.5" thickBot="1" x14ac:dyDescent="0.3">
      <c r="B58" s="413" t="s">
        <v>110</v>
      </c>
      <c r="C58" s="414"/>
      <c r="D58" s="414"/>
      <c r="E58" s="414"/>
      <c r="F58" s="414"/>
      <c r="G58" s="414"/>
      <c r="H58" s="414"/>
      <c r="I58" s="414"/>
      <c r="J58" s="414"/>
      <c r="K58" s="414"/>
      <c r="L58" s="414"/>
      <c r="M58" s="414"/>
      <c r="N58" s="414"/>
      <c r="O58" s="414"/>
      <c r="P58" s="414"/>
      <c r="Q58" s="414"/>
      <c r="R58" s="414"/>
      <c r="S58" s="414"/>
    </row>
    <row r="59" spans="2:19" ht="30" x14ac:dyDescent="0.25">
      <c r="B59" s="178" t="s">
        <v>150</v>
      </c>
      <c r="C59" s="249" t="s">
        <v>35</v>
      </c>
      <c r="D59" s="268">
        <v>300</v>
      </c>
      <c r="E59" s="48">
        <f>0.707*D59</f>
        <v>212.1</v>
      </c>
      <c r="F59" s="314">
        <v>2.48</v>
      </c>
      <c r="G59" s="334">
        <f>E59/F59</f>
        <v>85.524193548387089</v>
      </c>
      <c r="H59" s="314">
        <v>527</v>
      </c>
      <c r="I59" s="315">
        <v>0.39</v>
      </c>
      <c r="J59" s="281">
        <v>0.2</v>
      </c>
      <c r="K59" s="282">
        <v>-8</v>
      </c>
      <c r="L59" s="283">
        <v>20</v>
      </c>
      <c r="M59" s="184">
        <v>400</v>
      </c>
      <c r="N59" s="74">
        <v>7</v>
      </c>
      <c r="O59" s="348">
        <v>6</v>
      </c>
      <c r="P59" s="331">
        <f>0.0393701*O59</f>
        <v>0.2362206</v>
      </c>
      <c r="Q59" s="74">
        <v>286</v>
      </c>
      <c r="R59" s="314">
        <v>24</v>
      </c>
      <c r="S59" s="315">
        <v>25</v>
      </c>
    </row>
    <row r="60" spans="2:19" ht="30" x14ac:dyDescent="0.25">
      <c r="B60" s="179" t="s">
        <v>151</v>
      </c>
      <c r="C60" s="131" t="s">
        <v>35</v>
      </c>
      <c r="D60" s="269">
        <v>300</v>
      </c>
      <c r="E60" s="122">
        <f t="shared" ref="E60:E64" si="12">0.707*D60</f>
        <v>212.1</v>
      </c>
      <c r="F60" s="204">
        <v>2.48</v>
      </c>
      <c r="G60" s="38">
        <f>E60/F60</f>
        <v>85.524193548387089</v>
      </c>
      <c r="H60" s="204">
        <v>527</v>
      </c>
      <c r="I60" s="113">
        <v>0.39</v>
      </c>
      <c r="J60" s="284">
        <v>0.2</v>
      </c>
      <c r="K60" s="285">
        <v>-8</v>
      </c>
      <c r="L60" s="286">
        <v>20</v>
      </c>
      <c r="M60" s="158">
        <v>400</v>
      </c>
      <c r="N60" s="77">
        <v>6</v>
      </c>
      <c r="O60" s="352">
        <v>5</v>
      </c>
      <c r="P60" s="311">
        <f>0.0393701*O60</f>
        <v>0.19685049999999998</v>
      </c>
      <c r="Q60" s="77">
        <v>286</v>
      </c>
      <c r="R60" s="204">
        <v>45</v>
      </c>
      <c r="S60" s="113">
        <v>54</v>
      </c>
    </row>
    <row r="61" spans="2:19" ht="30" x14ac:dyDescent="0.25">
      <c r="B61" s="179" t="s">
        <v>152</v>
      </c>
      <c r="C61" s="131" t="s">
        <v>35</v>
      </c>
      <c r="D61" s="269">
        <v>300</v>
      </c>
      <c r="E61" s="122">
        <f t="shared" si="12"/>
        <v>212.1</v>
      </c>
      <c r="F61" s="204">
        <v>2.48</v>
      </c>
      <c r="G61" s="38">
        <f t="shared" ref="G61:G63" si="13">E61/F61</f>
        <v>85.524193548387089</v>
      </c>
      <c r="H61" s="204">
        <v>527</v>
      </c>
      <c r="I61" s="113">
        <v>0.39</v>
      </c>
      <c r="J61" s="284">
        <v>0.2</v>
      </c>
      <c r="K61" s="285">
        <v>-8</v>
      </c>
      <c r="L61" s="286">
        <v>20</v>
      </c>
      <c r="M61" s="158">
        <v>400</v>
      </c>
      <c r="N61" s="77">
        <v>5</v>
      </c>
      <c r="O61" s="347">
        <v>4.3</v>
      </c>
      <c r="P61" s="311">
        <f t="shared" ref="P61:P63" si="14">0.0393701*O61</f>
        <v>0.16929142999999999</v>
      </c>
      <c r="Q61" s="77">
        <v>369</v>
      </c>
      <c r="R61" s="204">
        <v>23</v>
      </c>
      <c r="S61" s="113">
        <v>24</v>
      </c>
    </row>
    <row r="62" spans="2:19" ht="30" x14ac:dyDescent="0.25">
      <c r="B62" s="179" t="s">
        <v>153</v>
      </c>
      <c r="C62" s="131" t="s">
        <v>35</v>
      </c>
      <c r="D62" s="269">
        <v>300</v>
      </c>
      <c r="E62" s="122">
        <f t="shared" si="12"/>
        <v>212.1</v>
      </c>
      <c r="F62" s="204">
        <v>2.48</v>
      </c>
      <c r="G62" s="38">
        <f t="shared" si="13"/>
        <v>85.524193548387089</v>
      </c>
      <c r="H62" s="204">
        <v>527</v>
      </c>
      <c r="I62" s="113">
        <v>0.39</v>
      </c>
      <c r="J62" s="284">
        <v>0.2</v>
      </c>
      <c r="K62" s="285">
        <v>-8</v>
      </c>
      <c r="L62" s="286">
        <v>20</v>
      </c>
      <c r="M62" s="158">
        <v>400</v>
      </c>
      <c r="N62" s="77">
        <v>4</v>
      </c>
      <c r="O62" s="347">
        <v>3.5</v>
      </c>
      <c r="P62" s="311">
        <f t="shared" si="14"/>
        <v>0.13779534999999998</v>
      </c>
      <c r="Q62" s="77">
        <v>369</v>
      </c>
      <c r="R62" s="204">
        <v>29</v>
      </c>
      <c r="S62" s="113">
        <v>31</v>
      </c>
    </row>
    <row r="63" spans="2:19" ht="30" x14ac:dyDescent="0.25">
      <c r="B63" s="179" t="s">
        <v>154</v>
      </c>
      <c r="C63" s="131" t="s">
        <v>35</v>
      </c>
      <c r="D63" s="269">
        <v>300</v>
      </c>
      <c r="E63" s="122">
        <f t="shared" si="12"/>
        <v>212.1</v>
      </c>
      <c r="F63" s="204">
        <v>2.48</v>
      </c>
      <c r="G63" s="38">
        <f t="shared" si="13"/>
        <v>85.524193548387089</v>
      </c>
      <c r="H63" s="204">
        <v>527</v>
      </c>
      <c r="I63" s="113">
        <v>0.39</v>
      </c>
      <c r="J63" s="284">
        <v>0.2</v>
      </c>
      <c r="K63" s="285">
        <v>-8</v>
      </c>
      <c r="L63" s="286">
        <v>20</v>
      </c>
      <c r="M63" s="158">
        <v>400</v>
      </c>
      <c r="N63" s="77">
        <v>3</v>
      </c>
      <c r="O63" s="347">
        <v>2.8</v>
      </c>
      <c r="P63" s="311">
        <f t="shared" si="14"/>
        <v>0.11023627999999999</v>
      </c>
      <c r="Q63" s="77">
        <v>437</v>
      </c>
      <c r="R63" s="204">
        <v>28</v>
      </c>
      <c r="S63" s="113">
        <v>29</v>
      </c>
    </row>
    <row r="64" spans="2:19" ht="30.75" thickBot="1" x14ac:dyDescent="0.3">
      <c r="B64" s="243" t="s">
        <v>155</v>
      </c>
      <c r="C64" s="250" t="s">
        <v>35</v>
      </c>
      <c r="D64" s="270">
        <v>300</v>
      </c>
      <c r="E64" s="68">
        <f t="shared" si="12"/>
        <v>212.1</v>
      </c>
      <c r="F64" s="225"/>
      <c r="G64" s="225"/>
      <c r="H64" s="225"/>
      <c r="I64" s="135"/>
      <c r="J64" s="287">
        <v>0.2</v>
      </c>
      <c r="K64" s="288">
        <v>-8</v>
      </c>
      <c r="L64" s="289">
        <v>20</v>
      </c>
      <c r="M64" s="246">
        <v>400</v>
      </c>
      <c r="N64" s="80">
        <v>3</v>
      </c>
      <c r="O64" s="225"/>
      <c r="P64" s="310"/>
      <c r="Q64" s="80">
        <v>437</v>
      </c>
      <c r="R64" s="225"/>
      <c r="S64" s="135"/>
    </row>
    <row r="65" spans="2:19" ht="16.5" thickBot="1" x14ac:dyDescent="0.3">
      <c r="B65" s="413" t="s">
        <v>156</v>
      </c>
      <c r="C65" s="414"/>
      <c r="D65" s="414"/>
      <c r="E65" s="414"/>
      <c r="F65" s="414"/>
      <c r="G65" s="414"/>
      <c r="H65" s="414"/>
      <c r="I65" s="414"/>
      <c r="J65" s="414"/>
      <c r="K65" s="414"/>
      <c r="L65" s="414"/>
      <c r="M65" s="414"/>
      <c r="N65" s="414"/>
      <c r="O65" s="414"/>
      <c r="P65" s="414"/>
      <c r="Q65" s="414"/>
      <c r="R65" s="414"/>
      <c r="S65" s="414"/>
    </row>
    <row r="66" spans="2:19" ht="30" x14ac:dyDescent="0.25">
      <c r="B66" s="178" t="s">
        <v>157</v>
      </c>
      <c r="C66" s="249" t="s">
        <v>135</v>
      </c>
      <c r="D66" s="251" t="s">
        <v>79</v>
      </c>
      <c r="E66" s="252" t="s">
        <v>79</v>
      </c>
      <c r="F66" s="252" t="s">
        <v>79</v>
      </c>
      <c r="G66" s="252" t="s">
        <v>79</v>
      </c>
      <c r="H66" s="252" t="s">
        <v>79</v>
      </c>
      <c r="I66" s="253" t="s">
        <v>79</v>
      </c>
      <c r="J66" s="281">
        <v>0.2</v>
      </c>
      <c r="K66" s="282">
        <v>-8</v>
      </c>
      <c r="L66" s="283">
        <v>20</v>
      </c>
      <c r="M66" s="73">
        <v>174</v>
      </c>
      <c r="N66" s="74">
        <v>3</v>
      </c>
      <c r="O66" s="314">
        <v>1.9</v>
      </c>
      <c r="P66" s="331">
        <f t="shared" ref="P66:P74" si="15">0.0393701*O66</f>
        <v>7.4803189999999992E-2</v>
      </c>
      <c r="Q66" s="74" t="s">
        <v>79</v>
      </c>
      <c r="R66" s="74" t="s">
        <v>79</v>
      </c>
      <c r="S66" s="75" t="s">
        <v>79</v>
      </c>
    </row>
    <row r="67" spans="2:19" ht="30" x14ac:dyDescent="0.25">
      <c r="B67" s="179" t="s">
        <v>159</v>
      </c>
      <c r="C67" s="131" t="s">
        <v>135</v>
      </c>
      <c r="D67" s="248" t="s">
        <v>79</v>
      </c>
      <c r="E67" s="236" t="s">
        <v>79</v>
      </c>
      <c r="F67" s="236" t="s">
        <v>79</v>
      </c>
      <c r="G67" s="236" t="s">
        <v>79</v>
      </c>
      <c r="H67" s="236" t="s">
        <v>79</v>
      </c>
      <c r="I67" s="247" t="s">
        <v>79</v>
      </c>
      <c r="J67" s="284">
        <v>0.2</v>
      </c>
      <c r="K67" s="285">
        <v>-8</v>
      </c>
      <c r="L67" s="286">
        <v>20</v>
      </c>
      <c r="M67" s="76">
        <v>289</v>
      </c>
      <c r="N67" s="77">
        <v>3</v>
      </c>
      <c r="O67" s="204">
        <v>2.8</v>
      </c>
      <c r="P67" s="311">
        <f t="shared" si="15"/>
        <v>0.11023627999999999</v>
      </c>
      <c r="Q67" s="77" t="s">
        <v>79</v>
      </c>
      <c r="R67" s="77" t="s">
        <v>79</v>
      </c>
      <c r="S67" s="78" t="s">
        <v>79</v>
      </c>
    </row>
    <row r="68" spans="2:19" ht="30.75" thickBot="1" x14ac:dyDescent="0.3">
      <c r="B68" s="243" t="s">
        <v>160</v>
      </c>
      <c r="C68" s="250" t="s">
        <v>135</v>
      </c>
      <c r="D68" s="254" t="s">
        <v>79</v>
      </c>
      <c r="E68" s="255" t="s">
        <v>79</v>
      </c>
      <c r="F68" s="255" t="s">
        <v>79</v>
      </c>
      <c r="G68" s="255" t="s">
        <v>79</v>
      </c>
      <c r="H68" s="255" t="s">
        <v>79</v>
      </c>
      <c r="I68" s="256" t="s">
        <v>79</v>
      </c>
      <c r="J68" s="287">
        <v>0.2</v>
      </c>
      <c r="K68" s="288">
        <v>-8</v>
      </c>
      <c r="L68" s="289">
        <v>20</v>
      </c>
      <c r="M68" s="79">
        <v>405</v>
      </c>
      <c r="N68" s="80">
        <v>3</v>
      </c>
      <c r="O68" s="227">
        <v>3</v>
      </c>
      <c r="P68" s="311">
        <f t="shared" si="15"/>
        <v>0.1181103</v>
      </c>
      <c r="Q68" s="80" t="s">
        <v>79</v>
      </c>
      <c r="R68" s="80" t="s">
        <v>79</v>
      </c>
      <c r="S68" s="81" t="s">
        <v>79</v>
      </c>
    </row>
    <row r="69" spans="2:19" ht="30" x14ac:dyDescent="0.25">
      <c r="B69" s="178" t="s">
        <v>161</v>
      </c>
      <c r="C69" s="249" t="s">
        <v>135</v>
      </c>
      <c r="D69" s="251" t="s">
        <v>79</v>
      </c>
      <c r="E69" s="252" t="s">
        <v>79</v>
      </c>
      <c r="F69" s="252" t="s">
        <v>79</v>
      </c>
      <c r="G69" s="252" t="s">
        <v>79</v>
      </c>
      <c r="H69" s="252" t="s">
        <v>79</v>
      </c>
      <c r="I69" s="253" t="s">
        <v>79</v>
      </c>
      <c r="J69" s="281">
        <v>0.2</v>
      </c>
      <c r="K69" s="282">
        <v>-8</v>
      </c>
      <c r="L69" s="283">
        <v>20</v>
      </c>
      <c r="M69" s="73">
        <v>174</v>
      </c>
      <c r="N69" s="74">
        <v>5</v>
      </c>
      <c r="O69" s="314">
        <v>3.7</v>
      </c>
      <c r="P69" s="331">
        <f t="shared" si="15"/>
        <v>0.14566936999999999</v>
      </c>
      <c r="Q69" s="74" t="s">
        <v>79</v>
      </c>
      <c r="R69" s="74" t="s">
        <v>79</v>
      </c>
      <c r="S69" s="75" t="s">
        <v>79</v>
      </c>
    </row>
    <row r="70" spans="2:19" ht="30" x14ac:dyDescent="0.25">
      <c r="B70" s="179" t="s">
        <v>162</v>
      </c>
      <c r="C70" s="131" t="s">
        <v>135</v>
      </c>
      <c r="D70" s="248" t="s">
        <v>79</v>
      </c>
      <c r="E70" s="236" t="s">
        <v>79</v>
      </c>
      <c r="F70" s="236" t="s">
        <v>79</v>
      </c>
      <c r="G70" s="236" t="s">
        <v>79</v>
      </c>
      <c r="H70" s="236" t="s">
        <v>79</v>
      </c>
      <c r="I70" s="247" t="s">
        <v>79</v>
      </c>
      <c r="J70" s="284">
        <v>0.2</v>
      </c>
      <c r="K70" s="285">
        <v>-8</v>
      </c>
      <c r="L70" s="286">
        <v>20</v>
      </c>
      <c r="M70" s="76">
        <v>289</v>
      </c>
      <c r="N70" s="77">
        <v>5</v>
      </c>
      <c r="O70" s="204">
        <v>4.5</v>
      </c>
      <c r="P70" s="311">
        <f t="shared" si="15"/>
        <v>0.17716545</v>
      </c>
      <c r="Q70" s="77" t="s">
        <v>79</v>
      </c>
      <c r="R70" s="77" t="s">
        <v>79</v>
      </c>
      <c r="S70" s="78" t="s">
        <v>79</v>
      </c>
    </row>
    <row r="71" spans="2:19" ht="30.75" thickBot="1" x14ac:dyDescent="0.3">
      <c r="B71" s="180" t="s">
        <v>158</v>
      </c>
      <c r="C71" s="155" t="s">
        <v>135</v>
      </c>
      <c r="D71" s="254" t="s">
        <v>79</v>
      </c>
      <c r="E71" s="255" t="s">
        <v>79</v>
      </c>
      <c r="F71" s="255" t="s">
        <v>79</v>
      </c>
      <c r="G71" s="255" t="s">
        <v>79</v>
      </c>
      <c r="H71" s="255" t="s">
        <v>79</v>
      </c>
      <c r="I71" s="256" t="s">
        <v>79</v>
      </c>
      <c r="J71" s="287">
        <v>0.2</v>
      </c>
      <c r="K71" s="288">
        <v>-8</v>
      </c>
      <c r="L71" s="289">
        <v>20</v>
      </c>
      <c r="M71" s="79">
        <v>405</v>
      </c>
      <c r="N71" s="80">
        <v>5</v>
      </c>
      <c r="O71" s="227">
        <v>5</v>
      </c>
      <c r="P71" s="332">
        <f t="shared" si="15"/>
        <v>0.19685049999999998</v>
      </c>
      <c r="Q71" s="80" t="s">
        <v>79</v>
      </c>
      <c r="R71" s="80" t="s">
        <v>79</v>
      </c>
      <c r="S71" s="81" t="s">
        <v>79</v>
      </c>
    </row>
    <row r="72" spans="2:19" ht="30" x14ac:dyDescent="0.25">
      <c r="B72" s="178" t="s">
        <v>163</v>
      </c>
      <c r="C72" s="278" t="s">
        <v>135</v>
      </c>
      <c r="D72" s="251" t="s">
        <v>79</v>
      </c>
      <c r="E72" s="252" t="s">
        <v>79</v>
      </c>
      <c r="F72" s="252" t="s">
        <v>79</v>
      </c>
      <c r="G72" s="252" t="s">
        <v>79</v>
      </c>
      <c r="H72" s="252" t="s">
        <v>79</v>
      </c>
      <c r="I72" s="253" t="s">
        <v>79</v>
      </c>
      <c r="J72" s="281">
        <v>0.2</v>
      </c>
      <c r="K72" s="282">
        <v>-8</v>
      </c>
      <c r="L72" s="283">
        <v>20</v>
      </c>
      <c r="M72" s="73">
        <v>174</v>
      </c>
      <c r="N72" s="74">
        <v>7</v>
      </c>
      <c r="O72" s="314">
        <v>4.7</v>
      </c>
      <c r="P72" s="331">
        <f t="shared" si="15"/>
        <v>0.18503947000000001</v>
      </c>
      <c r="Q72" s="74" t="s">
        <v>79</v>
      </c>
      <c r="R72" s="74" t="s">
        <v>79</v>
      </c>
      <c r="S72" s="75" t="s">
        <v>79</v>
      </c>
    </row>
    <row r="73" spans="2:19" ht="30" x14ac:dyDescent="0.25">
      <c r="B73" s="179" t="s">
        <v>164</v>
      </c>
      <c r="C73" s="279" t="s">
        <v>135</v>
      </c>
      <c r="D73" s="248" t="s">
        <v>79</v>
      </c>
      <c r="E73" s="236" t="s">
        <v>79</v>
      </c>
      <c r="F73" s="236" t="s">
        <v>79</v>
      </c>
      <c r="G73" s="236" t="s">
        <v>79</v>
      </c>
      <c r="H73" s="236" t="s">
        <v>79</v>
      </c>
      <c r="I73" s="247" t="s">
        <v>79</v>
      </c>
      <c r="J73" s="284">
        <v>0.2</v>
      </c>
      <c r="K73" s="285">
        <v>-8</v>
      </c>
      <c r="L73" s="286">
        <v>20</v>
      </c>
      <c r="M73" s="76">
        <v>289</v>
      </c>
      <c r="N73" s="77">
        <v>7</v>
      </c>
      <c r="O73" s="204">
        <v>6.7</v>
      </c>
      <c r="P73" s="311">
        <f t="shared" si="15"/>
        <v>0.26377967000000002</v>
      </c>
      <c r="Q73" s="77" t="s">
        <v>79</v>
      </c>
      <c r="R73" s="77" t="s">
        <v>79</v>
      </c>
      <c r="S73" s="78" t="s">
        <v>79</v>
      </c>
    </row>
    <row r="74" spans="2:19" ht="30.75" thickBot="1" x14ac:dyDescent="0.3">
      <c r="B74" s="243" t="s">
        <v>165</v>
      </c>
      <c r="C74" s="280" t="s">
        <v>135</v>
      </c>
      <c r="D74" s="254" t="s">
        <v>79</v>
      </c>
      <c r="E74" s="255" t="s">
        <v>79</v>
      </c>
      <c r="F74" s="255" t="s">
        <v>79</v>
      </c>
      <c r="G74" s="255" t="s">
        <v>79</v>
      </c>
      <c r="H74" s="255" t="s">
        <v>79</v>
      </c>
      <c r="I74" s="256" t="s">
        <v>79</v>
      </c>
      <c r="J74" s="287">
        <v>0.2</v>
      </c>
      <c r="K74" s="288">
        <v>-8</v>
      </c>
      <c r="L74" s="289">
        <v>20</v>
      </c>
      <c r="M74" s="79">
        <v>405</v>
      </c>
      <c r="N74" s="80">
        <v>7</v>
      </c>
      <c r="O74" s="227">
        <v>7.2</v>
      </c>
      <c r="P74" s="332">
        <f t="shared" si="15"/>
        <v>0.28346472</v>
      </c>
      <c r="Q74" s="80" t="s">
        <v>79</v>
      </c>
      <c r="R74" s="80" t="s">
        <v>79</v>
      </c>
      <c r="S74" s="81" t="s">
        <v>79</v>
      </c>
    </row>
    <row r="75" spans="2:19" ht="16.5" thickBot="1" x14ac:dyDescent="0.3">
      <c r="B75" s="413" t="s">
        <v>166</v>
      </c>
      <c r="C75" s="414"/>
      <c r="D75" s="414"/>
      <c r="E75" s="414"/>
      <c r="F75" s="414"/>
      <c r="G75" s="414"/>
      <c r="H75" s="414"/>
      <c r="I75" s="414"/>
      <c r="J75" s="414"/>
      <c r="K75" s="414"/>
      <c r="L75" s="414"/>
      <c r="M75" s="414"/>
      <c r="N75" s="414"/>
      <c r="O75" s="414"/>
      <c r="P75" s="414"/>
      <c r="Q75" s="414"/>
      <c r="R75" s="414"/>
      <c r="S75" s="415"/>
    </row>
    <row r="76" spans="2:19" ht="30" x14ac:dyDescent="0.25">
      <c r="B76" s="178" t="s">
        <v>167</v>
      </c>
      <c r="C76" s="249" t="s">
        <v>109</v>
      </c>
      <c r="D76" s="127">
        <v>300</v>
      </c>
      <c r="E76" s="274">
        <f>0.707*D76</f>
        <v>212.1</v>
      </c>
      <c r="F76" s="314">
        <v>2.48</v>
      </c>
      <c r="G76" s="334">
        <f>E76/F76</f>
        <v>85.524193548387089</v>
      </c>
      <c r="H76" s="314">
        <v>527</v>
      </c>
      <c r="I76" s="316">
        <v>0.39</v>
      </c>
      <c r="J76" s="281">
        <v>0.2</v>
      </c>
      <c r="K76" s="282">
        <v>-8</v>
      </c>
      <c r="L76" s="283">
        <v>20</v>
      </c>
      <c r="M76" s="184">
        <v>400</v>
      </c>
      <c r="N76" s="74">
        <v>7</v>
      </c>
      <c r="O76" s="314">
        <v>6.8</v>
      </c>
      <c r="P76" s="331">
        <f>0.0393701*O76</f>
        <v>0.26771667999999998</v>
      </c>
      <c r="Q76" s="74">
        <v>286</v>
      </c>
      <c r="R76" s="314">
        <v>24</v>
      </c>
      <c r="S76" s="315">
        <v>32</v>
      </c>
    </row>
    <row r="77" spans="2:19" ht="30" x14ac:dyDescent="0.25">
      <c r="B77" s="179" t="s">
        <v>168</v>
      </c>
      <c r="C77" s="131" t="s">
        <v>109</v>
      </c>
      <c r="D77" s="129">
        <v>275</v>
      </c>
      <c r="E77" s="275">
        <f t="shared" ref="E77:E87" si="16">0.707*D77</f>
        <v>194.42499999999998</v>
      </c>
      <c r="F77" s="204">
        <v>2.3199999999999998</v>
      </c>
      <c r="G77" s="38">
        <f>E77/F77</f>
        <v>83.803879310344826</v>
      </c>
      <c r="H77" s="204">
        <v>451</v>
      </c>
      <c r="I77" s="354">
        <v>0.33</v>
      </c>
      <c r="J77" s="284">
        <v>0.2</v>
      </c>
      <c r="K77" s="285">
        <v>-8</v>
      </c>
      <c r="L77" s="286">
        <v>20</v>
      </c>
      <c r="M77" s="158">
        <v>400</v>
      </c>
      <c r="N77" s="77">
        <v>7</v>
      </c>
      <c r="O77" s="204">
        <v>6.8</v>
      </c>
      <c r="P77" s="311">
        <f>0.0393701*O77</f>
        <v>0.26771667999999998</v>
      </c>
      <c r="Q77" s="77">
        <v>286</v>
      </c>
      <c r="R77" s="204">
        <v>34</v>
      </c>
      <c r="S77" s="113">
        <v>36</v>
      </c>
    </row>
    <row r="78" spans="2:19" ht="30" x14ac:dyDescent="0.25">
      <c r="B78" s="179" t="s">
        <v>169</v>
      </c>
      <c r="C78" s="131" t="s">
        <v>109</v>
      </c>
      <c r="D78" s="129">
        <v>250</v>
      </c>
      <c r="E78" s="275">
        <f t="shared" si="16"/>
        <v>176.75</v>
      </c>
      <c r="F78" s="204">
        <v>2.16</v>
      </c>
      <c r="G78" s="38">
        <f>E78/F78</f>
        <v>81.828703703703695</v>
      </c>
      <c r="H78" s="204">
        <v>381</v>
      </c>
      <c r="I78" s="354">
        <v>0.28000000000000003</v>
      </c>
      <c r="J78" s="284">
        <v>0.2</v>
      </c>
      <c r="K78" s="285">
        <v>-8</v>
      </c>
      <c r="L78" s="286">
        <v>20</v>
      </c>
      <c r="M78" s="158">
        <v>400</v>
      </c>
      <c r="N78" s="77">
        <v>7</v>
      </c>
      <c r="O78" s="204">
        <v>6.8</v>
      </c>
      <c r="P78" s="311">
        <f>0.0393701*O78</f>
        <v>0.26771667999999998</v>
      </c>
      <c r="Q78" s="77">
        <v>286</v>
      </c>
      <c r="R78" s="204">
        <v>82</v>
      </c>
      <c r="S78" s="113">
        <v>84</v>
      </c>
    </row>
    <row r="79" spans="2:19" ht="30.75" thickBot="1" x14ac:dyDescent="0.3">
      <c r="B79" s="180" t="s">
        <v>170</v>
      </c>
      <c r="C79" s="155" t="s">
        <v>109</v>
      </c>
      <c r="D79" s="172">
        <v>225</v>
      </c>
      <c r="E79" s="276">
        <f t="shared" si="16"/>
        <v>159.07499999999999</v>
      </c>
      <c r="F79" s="317"/>
      <c r="G79" s="337"/>
      <c r="H79" s="317"/>
      <c r="I79" s="318"/>
      <c r="J79" s="290">
        <v>0.2</v>
      </c>
      <c r="K79" s="291">
        <v>-8</v>
      </c>
      <c r="L79" s="292">
        <v>20</v>
      </c>
      <c r="M79" s="263">
        <v>400</v>
      </c>
      <c r="N79" s="264">
        <v>7</v>
      </c>
      <c r="O79" s="317"/>
      <c r="P79" s="333"/>
      <c r="Q79" s="264">
        <v>286</v>
      </c>
      <c r="R79" s="317"/>
      <c r="S79" s="319"/>
    </row>
    <row r="80" spans="2:19" ht="30" x14ac:dyDescent="0.25">
      <c r="B80" s="178" t="s">
        <v>171</v>
      </c>
      <c r="C80" s="249" t="s">
        <v>109</v>
      </c>
      <c r="D80" s="268">
        <v>300</v>
      </c>
      <c r="E80" s="274">
        <f t="shared" si="16"/>
        <v>212.1</v>
      </c>
      <c r="F80" s="314">
        <v>2.48</v>
      </c>
      <c r="G80" s="334">
        <f>E80/F80</f>
        <v>85.524193548387089</v>
      </c>
      <c r="H80" s="314">
        <v>527</v>
      </c>
      <c r="I80" s="316">
        <v>0.39</v>
      </c>
      <c r="J80" s="281">
        <v>0.2</v>
      </c>
      <c r="K80" s="282">
        <v>-8</v>
      </c>
      <c r="L80" s="283">
        <v>20</v>
      </c>
      <c r="M80" s="184">
        <v>400</v>
      </c>
      <c r="N80" s="74">
        <v>4</v>
      </c>
      <c r="O80" s="314">
        <v>3.9</v>
      </c>
      <c r="P80" s="331">
        <f>0.0393701*O80</f>
        <v>0.15354339</v>
      </c>
      <c r="Q80" s="74">
        <v>369</v>
      </c>
      <c r="R80" s="314">
        <v>25</v>
      </c>
      <c r="S80" s="315">
        <v>26</v>
      </c>
    </row>
    <row r="81" spans="2:19" ht="30" x14ac:dyDescent="0.25">
      <c r="B81" s="179" t="s">
        <v>172</v>
      </c>
      <c r="C81" s="131" t="s">
        <v>109</v>
      </c>
      <c r="D81" s="269">
        <v>275</v>
      </c>
      <c r="E81" s="275">
        <f t="shared" si="16"/>
        <v>194.42499999999998</v>
      </c>
      <c r="F81" s="204">
        <v>2.3199999999999998</v>
      </c>
      <c r="G81" s="38">
        <f>E81/F81</f>
        <v>83.803879310344826</v>
      </c>
      <c r="H81" s="204">
        <v>451</v>
      </c>
      <c r="I81" s="313">
        <v>0.33</v>
      </c>
      <c r="J81" s="284">
        <v>0.2</v>
      </c>
      <c r="K81" s="285">
        <v>-8</v>
      </c>
      <c r="L81" s="286">
        <v>20</v>
      </c>
      <c r="M81" s="158">
        <v>400</v>
      </c>
      <c r="N81" s="77">
        <v>4</v>
      </c>
      <c r="O81" s="204">
        <v>3.8</v>
      </c>
      <c r="P81" s="311">
        <f>0.0393701*O81</f>
        <v>0.14960637999999998</v>
      </c>
      <c r="Q81" s="77">
        <v>369</v>
      </c>
      <c r="R81" s="204">
        <v>48</v>
      </c>
      <c r="S81" s="113">
        <v>49</v>
      </c>
    </row>
    <row r="82" spans="2:19" ht="30" x14ac:dyDescent="0.25">
      <c r="B82" s="179" t="s">
        <v>173</v>
      </c>
      <c r="C82" s="131" t="s">
        <v>109</v>
      </c>
      <c r="D82" s="269">
        <v>250</v>
      </c>
      <c r="E82" s="275">
        <f t="shared" si="16"/>
        <v>176.75</v>
      </c>
      <c r="F82" s="204">
        <v>2.16</v>
      </c>
      <c r="G82" s="38">
        <f>E82/F82</f>
        <v>81.828703703703695</v>
      </c>
      <c r="H82" s="204">
        <v>381</v>
      </c>
      <c r="I82" s="313">
        <v>0.28000000000000003</v>
      </c>
      <c r="J82" s="284">
        <v>0.2</v>
      </c>
      <c r="K82" s="285">
        <v>-8</v>
      </c>
      <c r="L82" s="286">
        <v>20</v>
      </c>
      <c r="M82" s="158">
        <v>400</v>
      </c>
      <c r="N82" s="77">
        <v>4</v>
      </c>
      <c r="O82" s="204">
        <v>4</v>
      </c>
      <c r="P82" s="311">
        <f>0.0393701*O82</f>
        <v>0.15748039999999999</v>
      </c>
      <c r="Q82" s="77">
        <v>369</v>
      </c>
      <c r="R82" s="204" t="s">
        <v>217</v>
      </c>
      <c r="S82" s="113" t="s">
        <v>217</v>
      </c>
    </row>
    <row r="83" spans="2:19" ht="30.75" thickBot="1" x14ac:dyDescent="0.3">
      <c r="B83" s="243" t="s">
        <v>174</v>
      </c>
      <c r="C83" s="250" t="s">
        <v>109</v>
      </c>
      <c r="D83" s="270">
        <v>225</v>
      </c>
      <c r="E83" s="277">
        <f t="shared" si="16"/>
        <v>159.07499999999999</v>
      </c>
      <c r="F83" s="227"/>
      <c r="G83" s="335"/>
      <c r="H83" s="227"/>
      <c r="I83" s="320"/>
      <c r="J83" s="287">
        <v>0.2</v>
      </c>
      <c r="K83" s="288">
        <v>-8</v>
      </c>
      <c r="L83" s="289">
        <v>20</v>
      </c>
      <c r="M83" s="246">
        <v>400</v>
      </c>
      <c r="N83" s="80">
        <v>4</v>
      </c>
      <c r="O83" s="227"/>
      <c r="P83" s="332"/>
      <c r="Q83" s="80">
        <v>369</v>
      </c>
      <c r="R83" s="227"/>
      <c r="S83" s="206"/>
    </row>
    <row r="84" spans="2:19" ht="30" x14ac:dyDescent="0.25">
      <c r="B84" s="178" t="s">
        <v>175</v>
      </c>
      <c r="C84" s="249" t="s">
        <v>109</v>
      </c>
      <c r="D84" s="268">
        <v>300</v>
      </c>
      <c r="E84" s="274">
        <f t="shared" si="16"/>
        <v>212.1</v>
      </c>
      <c r="F84" s="314">
        <v>2.48</v>
      </c>
      <c r="G84" s="334">
        <f>E84/F84</f>
        <v>85.524193548387089</v>
      </c>
      <c r="H84" s="314">
        <v>527</v>
      </c>
      <c r="I84" s="316">
        <v>0.39</v>
      </c>
      <c r="J84" s="281">
        <v>0.2</v>
      </c>
      <c r="K84" s="282">
        <v>-8</v>
      </c>
      <c r="L84" s="283">
        <v>20</v>
      </c>
      <c r="M84" s="184">
        <v>400</v>
      </c>
      <c r="N84" s="74">
        <v>3</v>
      </c>
      <c r="O84" s="314">
        <v>3</v>
      </c>
      <c r="P84" s="331">
        <f>0.0393701*O84</f>
        <v>0.1181103</v>
      </c>
      <c r="Q84" s="74">
        <v>437</v>
      </c>
      <c r="R84" s="314">
        <v>28</v>
      </c>
      <c r="S84" s="315">
        <v>29</v>
      </c>
    </row>
    <row r="85" spans="2:19" ht="30" x14ac:dyDescent="0.25">
      <c r="B85" s="179" t="s">
        <v>176</v>
      </c>
      <c r="C85" s="131" t="s">
        <v>109</v>
      </c>
      <c r="D85" s="269">
        <v>275</v>
      </c>
      <c r="E85" s="275">
        <f t="shared" si="16"/>
        <v>194.42499999999998</v>
      </c>
      <c r="F85" s="204">
        <v>2.3199999999999998</v>
      </c>
      <c r="G85" s="38">
        <f>E85/F85</f>
        <v>83.803879310344826</v>
      </c>
      <c r="H85" s="204">
        <v>451</v>
      </c>
      <c r="I85" s="313">
        <v>0.33</v>
      </c>
      <c r="J85" s="284">
        <v>0.2</v>
      </c>
      <c r="K85" s="285">
        <v>-8</v>
      </c>
      <c r="L85" s="286">
        <v>20</v>
      </c>
      <c r="M85" s="158">
        <v>400</v>
      </c>
      <c r="N85" s="77">
        <v>3</v>
      </c>
      <c r="O85" s="204">
        <v>3.2</v>
      </c>
      <c r="P85" s="311">
        <f>0.0393701*O85</f>
        <v>0.12598432000000001</v>
      </c>
      <c r="Q85" s="77">
        <v>437</v>
      </c>
      <c r="R85" s="204">
        <v>57</v>
      </c>
      <c r="S85" s="113">
        <v>58</v>
      </c>
    </row>
    <row r="86" spans="2:19" ht="30" x14ac:dyDescent="0.25">
      <c r="B86" s="179" t="s">
        <v>177</v>
      </c>
      <c r="C86" s="131" t="s">
        <v>109</v>
      </c>
      <c r="D86" s="269">
        <v>250</v>
      </c>
      <c r="E86" s="275">
        <f t="shared" si="16"/>
        <v>176.75</v>
      </c>
      <c r="F86" s="204">
        <v>2.16</v>
      </c>
      <c r="G86" s="38">
        <f>E86/F86</f>
        <v>81.828703703703695</v>
      </c>
      <c r="H86" s="204">
        <v>381</v>
      </c>
      <c r="I86" s="313">
        <v>0.28000000000000003</v>
      </c>
      <c r="J86" s="284">
        <v>0.2</v>
      </c>
      <c r="K86" s="285">
        <v>-8</v>
      </c>
      <c r="L86" s="286">
        <v>20</v>
      </c>
      <c r="M86" s="158">
        <v>400</v>
      </c>
      <c r="N86" s="77">
        <v>3</v>
      </c>
      <c r="O86" s="204">
        <v>3.2</v>
      </c>
      <c r="P86" s="311">
        <f>0.0393701*O86</f>
        <v>0.12598432000000001</v>
      </c>
      <c r="Q86" s="77">
        <v>437</v>
      </c>
      <c r="R86" s="204">
        <v>67</v>
      </c>
      <c r="S86" s="113">
        <v>68</v>
      </c>
    </row>
    <row r="87" spans="2:19" ht="30.75" thickBot="1" x14ac:dyDescent="0.3">
      <c r="B87" s="243" t="s">
        <v>178</v>
      </c>
      <c r="C87" s="250" t="s">
        <v>109</v>
      </c>
      <c r="D87" s="270">
        <v>225</v>
      </c>
      <c r="E87" s="277">
        <f t="shared" si="16"/>
        <v>159.07499999999999</v>
      </c>
      <c r="F87" s="227"/>
      <c r="G87" s="335"/>
      <c r="H87" s="227"/>
      <c r="I87" s="320"/>
      <c r="J87" s="287">
        <v>0.2</v>
      </c>
      <c r="K87" s="288">
        <v>-8</v>
      </c>
      <c r="L87" s="289">
        <v>20</v>
      </c>
      <c r="M87" s="246">
        <v>400</v>
      </c>
      <c r="N87" s="80">
        <v>3</v>
      </c>
      <c r="O87" s="227"/>
      <c r="P87" s="332"/>
      <c r="Q87" s="80">
        <v>437</v>
      </c>
      <c r="R87" s="227"/>
      <c r="S87" s="206"/>
    </row>
    <row r="88" spans="2:19" ht="21.75" thickBot="1" x14ac:dyDescent="0.3">
      <c r="B88" s="416" t="s">
        <v>209</v>
      </c>
      <c r="C88" s="417"/>
      <c r="D88" s="417"/>
      <c r="E88" s="417"/>
      <c r="F88" s="417"/>
      <c r="G88" s="417"/>
      <c r="H88" s="417"/>
      <c r="I88" s="417"/>
      <c r="J88" s="417"/>
      <c r="K88" s="417"/>
      <c r="L88" s="417"/>
      <c r="M88" s="417"/>
      <c r="N88" s="417"/>
      <c r="O88" s="417"/>
      <c r="P88" s="417"/>
      <c r="Q88" s="417"/>
      <c r="R88" s="417"/>
      <c r="S88" s="418"/>
    </row>
    <row r="89" spans="2:19" ht="16.5" thickBot="1" x14ac:dyDescent="0.3">
      <c r="B89" s="413" t="s">
        <v>110</v>
      </c>
      <c r="C89" s="414"/>
      <c r="D89" s="414"/>
      <c r="E89" s="414"/>
      <c r="F89" s="414"/>
      <c r="G89" s="414"/>
      <c r="H89" s="414"/>
      <c r="I89" s="414"/>
      <c r="J89" s="414"/>
      <c r="K89" s="414"/>
      <c r="L89" s="414"/>
      <c r="M89" s="414"/>
      <c r="N89" s="414"/>
      <c r="O89" s="414"/>
      <c r="P89" s="414"/>
      <c r="Q89" s="414"/>
      <c r="R89" s="414"/>
      <c r="S89" s="414"/>
    </row>
    <row r="90" spans="2:19" ht="30.75" thickBot="1" x14ac:dyDescent="0.3">
      <c r="B90" s="235"/>
      <c r="C90" s="229" t="s">
        <v>33</v>
      </c>
      <c r="D90" s="234" t="s">
        <v>65</v>
      </c>
      <c r="E90" s="230" t="s">
        <v>63</v>
      </c>
      <c r="F90" s="234" t="s">
        <v>64</v>
      </c>
      <c r="G90" s="230" t="s">
        <v>66</v>
      </c>
      <c r="H90" s="234" t="s">
        <v>67</v>
      </c>
      <c r="I90" s="230" t="s">
        <v>68</v>
      </c>
      <c r="J90" s="234" t="s">
        <v>98</v>
      </c>
      <c r="K90" s="231" t="s">
        <v>210</v>
      </c>
      <c r="L90" s="234" t="s">
        <v>69</v>
      </c>
      <c r="M90" s="232" t="s">
        <v>23</v>
      </c>
      <c r="N90" s="234" t="s">
        <v>70</v>
      </c>
      <c r="O90" s="230" t="s">
        <v>71</v>
      </c>
      <c r="P90" s="234" t="s">
        <v>72</v>
      </c>
      <c r="Q90" s="232" t="s">
        <v>24</v>
      </c>
      <c r="R90" s="234" t="s">
        <v>73</v>
      </c>
      <c r="S90" s="233" t="s">
        <v>74</v>
      </c>
    </row>
    <row r="91" spans="2:19" ht="30" x14ac:dyDescent="0.25">
      <c r="B91" s="178" t="s">
        <v>182</v>
      </c>
      <c r="C91" s="249" t="s">
        <v>35</v>
      </c>
      <c r="D91" s="268">
        <v>300</v>
      </c>
      <c r="E91" s="48">
        <f>0.707*D91</f>
        <v>212.1</v>
      </c>
      <c r="F91" s="314">
        <v>2.48</v>
      </c>
      <c r="G91" s="334">
        <f>E91/F91</f>
        <v>85.524193548387089</v>
      </c>
      <c r="H91" s="314">
        <v>527</v>
      </c>
      <c r="I91" s="315">
        <v>0.39</v>
      </c>
      <c r="J91" s="293">
        <v>0.9</v>
      </c>
      <c r="K91" s="294">
        <v>-8</v>
      </c>
      <c r="L91" s="295">
        <v>35</v>
      </c>
      <c r="M91" s="184">
        <v>400</v>
      </c>
      <c r="N91" s="74">
        <v>5</v>
      </c>
      <c r="O91" s="348">
        <v>7.2</v>
      </c>
      <c r="P91" s="331">
        <f>0.0393701*O91</f>
        <v>0.28346472</v>
      </c>
      <c r="Q91" s="74">
        <v>286</v>
      </c>
      <c r="R91" s="314">
        <v>34</v>
      </c>
      <c r="S91" s="315">
        <v>50</v>
      </c>
    </row>
    <row r="92" spans="2:19" ht="30" x14ac:dyDescent="0.25">
      <c r="B92" s="179" t="s">
        <v>183</v>
      </c>
      <c r="C92" s="131" t="s">
        <v>35</v>
      </c>
      <c r="D92" s="269">
        <v>300</v>
      </c>
      <c r="E92" s="122">
        <f t="shared" ref="E92:E96" si="17">0.707*D92</f>
        <v>212.1</v>
      </c>
      <c r="F92" s="204">
        <v>2.48</v>
      </c>
      <c r="G92" s="38">
        <f>E92/F92</f>
        <v>85.524193548387089</v>
      </c>
      <c r="H92" s="204">
        <v>527</v>
      </c>
      <c r="I92" s="113">
        <v>0.39</v>
      </c>
      <c r="J92" s="296">
        <v>0.9</v>
      </c>
      <c r="K92" s="297">
        <v>-8</v>
      </c>
      <c r="L92" s="298">
        <v>35</v>
      </c>
      <c r="M92" s="158">
        <v>400</v>
      </c>
      <c r="N92" s="77">
        <v>5</v>
      </c>
      <c r="O92" s="347">
        <v>7.2</v>
      </c>
      <c r="P92" s="311">
        <f>0.0393701*O92</f>
        <v>0.28346472</v>
      </c>
      <c r="Q92" s="77">
        <v>286</v>
      </c>
      <c r="R92" s="204">
        <v>55</v>
      </c>
      <c r="S92" s="113">
        <v>56</v>
      </c>
    </row>
    <row r="93" spans="2:19" ht="30" x14ac:dyDescent="0.25">
      <c r="B93" s="179" t="s">
        <v>184</v>
      </c>
      <c r="C93" s="131" t="s">
        <v>35</v>
      </c>
      <c r="D93" s="269">
        <v>300</v>
      </c>
      <c r="E93" s="122">
        <f t="shared" si="17"/>
        <v>212.1</v>
      </c>
      <c r="F93" s="204">
        <v>2.48</v>
      </c>
      <c r="G93" s="38">
        <f t="shared" ref="G93:G96" si="18">E93/F93</f>
        <v>85.524193548387089</v>
      </c>
      <c r="H93" s="204">
        <v>527</v>
      </c>
      <c r="I93" s="113">
        <v>0.39</v>
      </c>
      <c r="J93" s="296">
        <v>0.9</v>
      </c>
      <c r="K93" s="297">
        <v>-8</v>
      </c>
      <c r="L93" s="298">
        <v>35</v>
      </c>
      <c r="M93" s="158">
        <v>400</v>
      </c>
      <c r="N93" s="77">
        <v>4</v>
      </c>
      <c r="O93" s="347">
        <v>5.3</v>
      </c>
      <c r="P93" s="311">
        <f t="shared" ref="P93:P96" si="19">0.0393701*O93</f>
        <v>0.20866152999999998</v>
      </c>
      <c r="Q93" s="77">
        <v>369</v>
      </c>
      <c r="R93" s="204">
        <v>23</v>
      </c>
      <c r="S93" s="113">
        <v>24</v>
      </c>
    </row>
    <row r="94" spans="2:19" ht="30" x14ac:dyDescent="0.25">
      <c r="B94" s="179" t="s">
        <v>185</v>
      </c>
      <c r="C94" s="131" t="s">
        <v>35</v>
      </c>
      <c r="D94" s="269">
        <v>300</v>
      </c>
      <c r="E94" s="122">
        <f t="shared" si="17"/>
        <v>212.1</v>
      </c>
      <c r="F94" s="204">
        <v>2.48</v>
      </c>
      <c r="G94" s="38">
        <f t="shared" si="18"/>
        <v>85.524193548387089</v>
      </c>
      <c r="H94" s="204">
        <v>527</v>
      </c>
      <c r="I94" s="113">
        <v>0.39</v>
      </c>
      <c r="J94" s="296">
        <v>0.9</v>
      </c>
      <c r="K94" s="297">
        <v>-8</v>
      </c>
      <c r="L94" s="298">
        <v>35</v>
      </c>
      <c r="M94" s="158">
        <v>400</v>
      </c>
      <c r="N94" s="77">
        <v>3</v>
      </c>
      <c r="O94" s="347">
        <v>4.7</v>
      </c>
      <c r="P94" s="311">
        <f t="shared" si="19"/>
        <v>0.18503947000000001</v>
      </c>
      <c r="Q94" s="77">
        <v>369</v>
      </c>
      <c r="R94" s="204">
        <v>36</v>
      </c>
      <c r="S94" s="113" t="s">
        <v>218</v>
      </c>
    </row>
    <row r="95" spans="2:19" ht="30" x14ac:dyDescent="0.25">
      <c r="B95" s="179" t="s">
        <v>186</v>
      </c>
      <c r="C95" s="131" t="s">
        <v>35</v>
      </c>
      <c r="D95" s="269">
        <v>300</v>
      </c>
      <c r="E95" s="122">
        <f t="shared" si="17"/>
        <v>212.1</v>
      </c>
      <c r="F95" s="204">
        <v>2.48</v>
      </c>
      <c r="G95" s="38">
        <f t="shared" si="18"/>
        <v>85.524193548387089</v>
      </c>
      <c r="H95" s="204">
        <v>527</v>
      </c>
      <c r="I95" s="113">
        <v>0.39</v>
      </c>
      <c r="J95" s="296">
        <v>0.9</v>
      </c>
      <c r="K95" s="297">
        <v>-8</v>
      </c>
      <c r="L95" s="298">
        <v>35</v>
      </c>
      <c r="M95" s="158">
        <v>400</v>
      </c>
      <c r="N95" s="77">
        <v>3</v>
      </c>
      <c r="O95" s="347">
        <v>4.7</v>
      </c>
      <c r="P95" s="311">
        <f t="shared" si="19"/>
        <v>0.18503947000000001</v>
      </c>
      <c r="Q95" s="77">
        <v>437</v>
      </c>
      <c r="R95" s="204">
        <v>17</v>
      </c>
      <c r="S95" s="113">
        <v>20</v>
      </c>
    </row>
    <row r="96" spans="2:19" ht="30.75" thickBot="1" x14ac:dyDescent="0.3">
      <c r="B96" s="243" t="s">
        <v>187</v>
      </c>
      <c r="C96" s="250" t="s">
        <v>35</v>
      </c>
      <c r="D96" s="270">
        <v>300</v>
      </c>
      <c r="E96" s="68">
        <f t="shared" si="17"/>
        <v>212.1</v>
      </c>
      <c r="F96" s="227">
        <v>2.48</v>
      </c>
      <c r="G96" s="38">
        <f t="shared" si="18"/>
        <v>85.524193548387089</v>
      </c>
      <c r="H96" s="227">
        <v>527</v>
      </c>
      <c r="I96" s="206">
        <v>0.39</v>
      </c>
      <c r="J96" s="299">
        <v>0.9</v>
      </c>
      <c r="K96" s="300">
        <v>-8</v>
      </c>
      <c r="L96" s="301">
        <v>35</v>
      </c>
      <c r="M96" s="246">
        <v>400</v>
      </c>
      <c r="N96" s="80">
        <v>2</v>
      </c>
      <c r="O96" s="351">
        <v>3.5</v>
      </c>
      <c r="P96" s="311">
        <f t="shared" si="19"/>
        <v>0.13779534999999998</v>
      </c>
      <c r="Q96" s="80">
        <v>437</v>
      </c>
      <c r="R96" s="227">
        <v>34</v>
      </c>
      <c r="S96" s="206" t="s">
        <v>218</v>
      </c>
    </row>
    <row r="97" spans="2:19" ht="16.5" thickBot="1" x14ac:dyDescent="0.3">
      <c r="B97" s="413" t="s">
        <v>156</v>
      </c>
      <c r="C97" s="414"/>
      <c r="D97" s="414"/>
      <c r="E97" s="414"/>
      <c r="F97" s="414"/>
      <c r="G97" s="414"/>
      <c r="H97" s="414"/>
      <c r="I97" s="414"/>
      <c r="J97" s="414"/>
      <c r="K97" s="414"/>
      <c r="L97" s="414"/>
      <c r="M97" s="414"/>
      <c r="N97" s="414"/>
      <c r="O97" s="414"/>
      <c r="P97" s="414"/>
      <c r="Q97" s="414"/>
      <c r="R97" s="414"/>
      <c r="S97" s="414"/>
    </row>
    <row r="98" spans="2:19" ht="30" x14ac:dyDescent="0.25">
      <c r="B98" s="178" t="s">
        <v>188</v>
      </c>
      <c r="C98" s="249" t="s">
        <v>135</v>
      </c>
      <c r="D98" s="251" t="s">
        <v>79</v>
      </c>
      <c r="E98" s="252" t="s">
        <v>79</v>
      </c>
      <c r="F98" s="252" t="s">
        <v>79</v>
      </c>
      <c r="G98" s="252" t="s">
        <v>79</v>
      </c>
      <c r="H98" s="252" t="s">
        <v>79</v>
      </c>
      <c r="I98" s="253" t="s">
        <v>79</v>
      </c>
      <c r="J98" s="293">
        <v>0.9</v>
      </c>
      <c r="K98" s="294">
        <v>-8</v>
      </c>
      <c r="L98" s="295">
        <v>35</v>
      </c>
      <c r="M98" s="73">
        <v>174</v>
      </c>
      <c r="N98" s="74">
        <v>3</v>
      </c>
      <c r="O98" s="314">
        <v>3.7</v>
      </c>
      <c r="P98" s="331">
        <f t="shared" ref="P98:P106" si="20">0.0393701*O98</f>
        <v>0.14566936999999999</v>
      </c>
      <c r="Q98" s="74" t="s">
        <v>79</v>
      </c>
      <c r="R98" s="74" t="s">
        <v>79</v>
      </c>
      <c r="S98" s="75" t="s">
        <v>79</v>
      </c>
    </row>
    <row r="99" spans="2:19" ht="30" x14ac:dyDescent="0.25">
      <c r="B99" s="179" t="s">
        <v>189</v>
      </c>
      <c r="C99" s="131" t="s">
        <v>135</v>
      </c>
      <c r="D99" s="248" t="s">
        <v>79</v>
      </c>
      <c r="E99" s="236" t="s">
        <v>79</v>
      </c>
      <c r="F99" s="236" t="s">
        <v>79</v>
      </c>
      <c r="G99" s="236" t="s">
        <v>79</v>
      </c>
      <c r="H99" s="236" t="s">
        <v>79</v>
      </c>
      <c r="I99" s="247" t="s">
        <v>79</v>
      </c>
      <c r="J99" s="296">
        <v>0.9</v>
      </c>
      <c r="K99" s="297">
        <v>-8</v>
      </c>
      <c r="L99" s="298">
        <v>35</v>
      </c>
      <c r="M99" s="76">
        <v>289</v>
      </c>
      <c r="N99" s="77">
        <v>3</v>
      </c>
      <c r="O99" s="204">
        <v>5</v>
      </c>
      <c r="P99" s="311">
        <f t="shared" si="20"/>
        <v>0.19685049999999998</v>
      </c>
      <c r="Q99" s="77" t="s">
        <v>79</v>
      </c>
      <c r="R99" s="77" t="s">
        <v>79</v>
      </c>
      <c r="S99" s="78" t="s">
        <v>79</v>
      </c>
    </row>
    <row r="100" spans="2:19" ht="30.75" thickBot="1" x14ac:dyDescent="0.3">
      <c r="B100" s="243" t="s">
        <v>190</v>
      </c>
      <c r="C100" s="250" t="s">
        <v>135</v>
      </c>
      <c r="D100" s="254" t="s">
        <v>79</v>
      </c>
      <c r="E100" s="255" t="s">
        <v>79</v>
      </c>
      <c r="F100" s="255" t="s">
        <v>79</v>
      </c>
      <c r="G100" s="255" t="s">
        <v>79</v>
      </c>
      <c r="H100" s="255" t="s">
        <v>79</v>
      </c>
      <c r="I100" s="256" t="s">
        <v>79</v>
      </c>
      <c r="J100" s="299">
        <v>0.9</v>
      </c>
      <c r="K100" s="300">
        <v>-8</v>
      </c>
      <c r="L100" s="301">
        <v>35</v>
      </c>
      <c r="M100" s="79">
        <v>405</v>
      </c>
      <c r="N100" s="80">
        <v>3</v>
      </c>
      <c r="O100" s="227">
        <v>6.5</v>
      </c>
      <c r="P100" s="311">
        <f t="shared" si="20"/>
        <v>0.25590564999999998</v>
      </c>
      <c r="Q100" s="80" t="s">
        <v>79</v>
      </c>
      <c r="R100" s="80" t="s">
        <v>79</v>
      </c>
      <c r="S100" s="81" t="s">
        <v>79</v>
      </c>
    </row>
    <row r="101" spans="2:19" ht="30" x14ac:dyDescent="0.25">
      <c r="B101" s="178" t="s">
        <v>191</v>
      </c>
      <c r="C101" s="249" t="s">
        <v>135</v>
      </c>
      <c r="D101" s="251" t="s">
        <v>79</v>
      </c>
      <c r="E101" s="252" t="s">
        <v>79</v>
      </c>
      <c r="F101" s="252" t="s">
        <v>79</v>
      </c>
      <c r="G101" s="252" t="s">
        <v>79</v>
      </c>
      <c r="H101" s="252" t="s">
        <v>79</v>
      </c>
      <c r="I101" s="253" t="s">
        <v>79</v>
      </c>
      <c r="J101" s="305">
        <v>0.9</v>
      </c>
      <c r="K101" s="306">
        <v>-8</v>
      </c>
      <c r="L101" s="307">
        <v>35</v>
      </c>
      <c r="M101" s="73">
        <v>174</v>
      </c>
      <c r="N101" s="74">
        <v>5</v>
      </c>
      <c r="O101" s="314">
        <v>5.3</v>
      </c>
      <c r="P101" s="331">
        <f t="shared" si="20"/>
        <v>0.20866152999999998</v>
      </c>
      <c r="Q101" s="74" t="s">
        <v>79</v>
      </c>
      <c r="R101" s="74" t="s">
        <v>79</v>
      </c>
      <c r="S101" s="75" t="s">
        <v>79</v>
      </c>
    </row>
    <row r="102" spans="2:19" ht="30" x14ac:dyDescent="0.25">
      <c r="B102" s="179" t="s">
        <v>192</v>
      </c>
      <c r="C102" s="131" t="s">
        <v>135</v>
      </c>
      <c r="D102" s="248" t="s">
        <v>79</v>
      </c>
      <c r="E102" s="236" t="s">
        <v>79</v>
      </c>
      <c r="F102" s="236" t="s">
        <v>79</v>
      </c>
      <c r="G102" s="236" t="s">
        <v>79</v>
      </c>
      <c r="H102" s="236" t="s">
        <v>79</v>
      </c>
      <c r="I102" s="247" t="s">
        <v>79</v>
      </c>
      <c r="J102" s="296">
        <v>0.9</v>
      </c>
      <c r="K102" s="297">
        <v>-8</v>
      </c>
      <c r="L102" s="298">
        <v>35</v>
      </c>
      <c r="M102" s="76">
        <v>289</v>
      </c>
      <c r="N102" s="77">
        <v>5</v>
      </c>
      <c r="O102" s="204">
        <v>7.5</v>
      </c>
      <c r="P102" s="311">
        <f t="shared" si="20"/>
        <v>0.29527575</v>
      </c>
      <c r="Q102" s="77" t="s">
        <v>79</v>
      </c>
      <c r="R102" s="77" t="s">
        <v>79</v>
      </c>
      <c r="S102" s="78" t="s">
        <v>79</v>
      </c>
    </row>
    <row r="103" spans="2:19" ht="30.75" thickBot="1" x14ac:dyDescent="0.3">
      <c r="B103" s="180" t="s">
        <v>193</v>
      </c>
      <c r="C103" s="155" t="s">
        <v>135</v>
      </c>
      <c r="D103" s="254" t="s">
        <v>79</v>
      </c>
      <c r="E103" s="255" t="s">
        <v>79</v>
      </c>
      <c r="F103" s="255" t="s">
        <v>79</v>
      </c>
      <c r="G103" s="255" t="s">
        <v>79</v>
      </c>
      <c r="H103" s="255" t="s">
        <v>79</v>
      </c>
      <c r="I103" s="256" t="s">
        <v>79</v>
      </c>
      <c r="J103" s="299">
        <v>0.9</v>
      </c>
      <c r="K103" s="300">
        <v>-8</v>
      </c>
      <c r="L103" s="301">
        <v>35</v>
      </c>
      <c r="M103" s="79">
        <v>405</v>
      </c>
      <c r="N103" s="80">
        <v>5</v>
      </c>
      <c r="O103" s="227">
        <v>9.5</v>
      </c>
      <c r="P103" s="332">
        <f t="shared" si="20"/>
        <v>0.37401594999999999</v>
      </c>
      <c r="Q103" s="80" t="s">
        <v>79</v>
      </c>
      <c r="R103" s="80" t="s">
        <v>79</v>
      </c>
      <c r="S103" s="81" t="s">
        <v>79</v>
      </c>
    </row>
    <row r="104" spans="2:19" ht="30" x14ac:dyDescent="0.25">
      <c r="B104" s="178" t="s">
        <v>194</v>
      </c>
      <c r="C104" s="278" t="s">
        <v>135</v>
      </c>
      <c r="D104" s="251" t="s">
        <v>79</v>
      </c>
      <c r="E104" s="252" t="s">
        <v>79</v>
      </c>
      <c r="F104" s="252" t="s">
        <v>79</v>
      </c>
      <c r="G104" s="252" t="s">
        <v>79</v>
      </c>
      <c r="H104" s="252" t="s">
        <v>79</v>
      </c>
      <c r="I104" s="253" t="s">
        <v>79</v>
      </c>
      <c r="J104" s="296">
        <v>0.9</v>
      </c>
      <c r="K104" s="297">
        <v>-8</v>
      </c>
      <c r="L104" s="298">
        <v>35</v>
      </c>
      <c r="M104" s="73">
        <v>174</v>
      </c>
      <c r="N104" s="74">
        <v>7</v>
      </c>
      <c r="O104" s="314">
        <v>8</v>
      </c>
      <c r="P104" s="331">
        <f t="shared" si="20"/>
        <v>0.31496079999999999</v>
      </c>
      <c r="Q104" s="74" t="s">
        <v>79</v>
      </c>
      <c r="R104" s="74" t="s">
        <v>79</v>
      </c>
      <c r="S104" s="75" t="s">
        <v>79</v>
      </c>
    </row>
    <row r="105" spans="2:19" ht="30" x14ac:dyDescent="0.25">
      <c r="B105" s="179" t="s">
        <v>195</v>
      </c>
      <c r="C105" s="279" t="s">
        <v>135</v>
      </c>
      <c r="D105" s="248" t="s">
        <v>79</v>
      </c>
      <c r="E105" s="236" t="s">
        <v>79</v>
      </c>
      <c r="F105" s="236" t="s">
        <v>79</v>
      </c>
      <c r="G105" s="236" t="s">
        <v>79</v>
      </c>
      <c r="H105" s="236" t="s">
        <v>79</v>
      </c>
      <c r="I105" s="247" t="s">
        <v>79</v>
      </c>
      <c r="J105" s="296">
        <v>0.9</v>
      </c>
      <c r="K105" s="297">
        <v>-8</v>
      </c>
      <c r="L105" s="298">
        <v>35</v>
      </c>
      <c r="M105" s="76">
        <v>289</v>
      </c>
      <c r="N105" s="77">
        <v>7</v>
      </c>
      <c r="O105" s="204">
        <v>10.5</v>
      </c>
      <c r="P105" s="311">
        <f t="shared" si="20"/>
        <v>0.41338605</v>
      </c>
      <c r="Q105" s="77" t="s">
        <v>79</v>
      </c>
      <c r="R105" s="77" t="s">
        <v>79</v>
      </c>
      <c r="S105" s="78" t="s">
        <v>79</v>
      </c>
    </row>
    <row r="106" spans="2:19" ht="30.75" thickBot="1" x14ac:dyDescent="0.3">
      <c r="B106" s="243" t="s">
        <v>196</v>
      </c>
      <c r="C106" s="280" t="s">
        <v>135</v>
      </c>
      <c r="D106" s="254" t="s">
        <v>79</v>
      </c>
      <c r="E106" s="255" t="s">
        <v>79</v>
      </c>
      <c r="F106" s="255" t="s">
        <v>79</v>
      </c>
      <c r="G106" s="255" t="s">
        <v>79</v>
      </c>
      <c r="H106" s="255" t="s">
        <v>79</v>
      </c>
      <c r="I106" s="256" t="s">
        <v>79</v>
      </c>
      <c r="J106" s="299">
        <v>0.9</v>
      </c>
      <c r="K106" s="300">
        <v>-8</v>
      </c>
      <c r="L106" s="301">
        <v>35</v>
      </c>
      <c r="M106" s="79">
        <v>405</v>
      </c>
      <c r="N106" s="80">
        <v>7</v>
      </c>
      <c r="O106" s="227">
        <v>12</v>
      </c>
      <c r="P106" s="332">
        <f t="shared" si="20"/>
        <v>0.47244120000000001</v>
      </c>
      <c r="Q106" s="80" t="s">
        <v>79</v>
      </c>
      <c r="R106" s="80" t="s">
        <v>79</v>
      </c>
      <c r="S106" s="81" t="s">
        <v>79</v>
      </c>
    </row>
    <row r="107" spans="2:19" ht="16.5" thickBot="1" x14ac:dyDescent="0.3">
      <c r="B107" s="413" t="s">
        <v>166</v>
      </c>
      <c r="C107" s="414"/>
      <c r="D107" s="414"/>
      <c r="E107" s="414"/>
      <c r="F107" s="414"/>
      <c r="G107" s="414"/>
      <c r="H107" s="414"/>
      <c r="I107" s="414"/>
      <c r="J107" s="414"/>
      <c r="K107" s="414"/>
      <c r="L107" s="414"/>
      <c r="M107" s="414"/>
      <c r="N107" s="414"/>
      <c r="O107" s="414"/>
      <c r="P107" s="414"/>
      <c r="Q107" s="414"/>
      <c r="R107" s="414"/>
      <c r="S107" s="415"/>
    </row>
    <row r="108" spans="2:19" ht="30" x14ac:dyDescent="0.25">
      <c r="B108" s="178" t="s">
        <v>197</v>
      </c>
      <c r="C108" s="249" t="s">
        <v>109</v>
      </c>
      <c r="D108" s="127">
        <v>300</v>
      </c>
      <c r="E108" s="274">
        <f>0.707*D108</f>
        <v>212.1</v>
      </c>
      <c r="F108" s="244"/>
      <c r="G108" s="244"/>
      <c r="H108" s="244"/>
      <c r="I108" s="266"/>
      <c r="J108" s="293">
        <v>0.9</v>
      </c>
      <c r="K108" s="294">
        <v>-8</v>
      </c>
      <c r="L108" s="295">
        <v>35</v>
      </c>
      <c r="M108" s="184">
        <v>400</v>
      </c>
      <c r="N108" s="74">
        <v>6</v>
      </c>
      <c r="O108" s="244"/>
      <c r="P108" s="244"/>
      <c r="Q108" s="74">
        <v>286</v>
      </c>
      <c r="R108" s="244"/>
      <c r="S108" s="245"/>
    </row>
    <row r="109" spans="2:19" ht="30" x14ac:dyDescent="0.25">
      <c r="B109" s="179" t="s">
        <v>198</v>
      </c>
      <c r="C109" s="131" t="s">
        <v>109</v>
      </c>
      <c r="D109" s="129">
        <v>275</v>
      </c>
      <c r="E109" s="275">
        <f t="shared" ref="E109:E119" si="21">0.707*D109</f>
        <v>194.42499999999998</v>
      </c>
      <c r="F109" s="212"/>
      <c r="G109" s="212"/>
      <c r="H109" s="212"/>
      <c r="I109" s="237"/>
      <c r="J109" s="296">
        <v>0.9</v>
      </c>
      <c r="K109" s="297">
        <v>-8</v>
      </c>
      <c r="L109" s="298">
        <v>35</v>
      </c>
      <c r="M109" s="158">
        <v>400</v>
      </c>
      <c r="N109" s="77">
        <v>6</v>
      </c>
      <c r="O109" s="212"/>
      <c r="P109" s="212"/>
      <c r="Q109" s="77">
        <v>286</v>
      </c>
      <c r="R109" s="212"/>
      <c r="S109" s="133"/>
    </row>
    <row r="110" spans="2:19" ht="30" x14ac:dyDescent="0.25">
      <c r="B110" s="179" t="s">
        <v>199</v>
      </c>
      <c r="C110" s="131" t="s">
        <v>109</v>
      </c>
      <c r="D110" s="129">
        <v>250</v>
      </c>
      <c r="E110" s="275">
        <f t="shared" si="21"/>
        <v>176.75</v>
      </c>
      <c r="F110" s="212"/>
      <c r="G110" s="212"/>
      <c r="H110" s="212"/>
      <c r="I110" s="237"/>
      <c r="J110" s="296">
        <v>0.9</v>
      </c>
      <c r="K110" s="297">
        <v>-8</v>
      </c>
      <c r="L110" s="298">
        <v>35</v>
      </c>
      <c r="M110" s="158">
        <v>400</v>
      </c>
      <c r="N110" s="77">
        <v>6</v>
      </c>
      <c r="O110" s="212"/>
      <c r="P110" s="212"/>
      <c r="Q110" s="77">
        <v>286</v>
      </c>
      <c r="R110" s="212"/>
      <c r="S110" s="133"/>
    </row>
    <row r="111" spans="2:19" ht="30.75" thickBot="1" x14ac:dyDescent="0.3">
      <c r="B111" s="180" t="s">
        <v>200</v>
      </c>
      <c r="C111" s="155" t="s">
        <v>109</v>
      </c>
      <c r="D111" s="172">
        <v>225</v>
      </c>
      <c r="E111" s="276">
        <f t="shared" si="21"/>
        <v>159.07499999999999</v>
      </c>
      <c r="F111" s="258"/>
      <c r="G111" s="258"/>
      <c r="H111" s="258"/>
      <c r="I111" s="259"/>
      <c r="J111" s="302">
        <v>0.9</v>
      </c>
      <c r="K111" s="303">
        <v>-8</v>
      </c>
      <c r="L111" s="304">
        <v>35</v>
      </c>
      <c r="M111" s="263">
        <v>400</v>
      </c>
      <c r="N111" s="264">
        <v>6</v>
      </c>
      <c r="O111" s="258"/>
      <c r="P111" s="258"/>
      <c r="Q111" s="264">
        <v>286</v>
      </c>
      <c r="R111" s="258"/>
      <c r="S111" s="265"/>
    </row>
    <row r="112" spans="2:19" ht="30" x14ac:dyDescent="0.25">
      <c r="B112" s="178" t="s">
        <v>201</v>
      </c>
      <c r="C112" s="249" t="s">
        <v>109</v>
      </c>
      <c r="D112" s="268">
        <v>300</v>
      </c>
      <c r="E112" s="274">
        <f t="shared" si="21"/>
        <v>212.1</v>
      </c>
      <c r="F112" s="244"/>
      <c r="G112" s="244"/>
      <c r="H112" s="244"/>
      <c r="I112" s="266"/>
      <c r="J112" s="293">
        <v>0.9</v>
      </c>
      <c r="K112" s="294">
        <v>-8</v>
      </c>
      <c r="L112" s="295">
        <v>35</v>
      </c>
      <c r="M112" s="184">
        <v>400</v>
      </c>
      <c r="N112" s="74">
        <v>4</v>
      </c>
      <c r="O112" s="244"/>
      <c r="P112" s="244"/>
      <c r="Q112" s="74">
        <v>369</v>
      </c>
      <c r="R112" s="244"/>
      <c r="S112" s="245"/>
    </row>
    <row r="113" spans="2:19" ht="30" x14ac:dyDescent="0.25">
      <c r="B113" s="179" t="s">
        <v>202</v>
      </c>
      <c r="C113" s="131" t="s">
        <v>109</v>
      </c>
      <c r="D113" s="269">
        <v>275</v>
      </c>
      <c r="E113" s="275">
        <f t="shared" si="21"/>
        <v>194.42499999999998</v>
      </c>
      <c r="F113" s="212"/>
      <c r="G113" s="212"/>
      <c r="H113" s="212"/>
      <c r="I113" s="237"/>
      <c r="J113" s="296">
        <v>0.9</v>
      </c>
      <c r="K113" s="297">
        <v>-8</v>
      </c>
      <c r="L113" s="298">
        <v>35</v>
      </c>
      <c r="M113" s="158">
        <v>400</v>
      </c>
      <c r="N113" s="77">
        <v>4</v>
      </c>
      <c r="O113" s="212"/>
      <c r="P113" s="212"/>
      <c r="Q113" s="77">
        <v>369</v>
      </c>
      <c r="R113" s="212"/>
      <c r="S113" s="133"/>
    </row>
    <row r="114" spans="2:19" ht="30" x14ac:dyDescent="0.25">
      <c r="B114" s="179" t="s">
        <v>203</v>
      </c>
      <c r="C114" s="131" t="s">
        <v>109</v>
      </c>
      <c r="D114" s="269">
        <v>250</v>
      </c>
      <c r="E114" s="275">
        <f t="shared" si="21"/>
        <v>176.75</v>
      </c>
      <c r="F114" s="212"/>
      <c r="G114" s="212"/>
      <c r="H114" s="212"/>
      <c r="I114" s="237"/>
      <c r="J114" s="296">
        <v>0.9</v>
      </c>
      <c r="K114" s="297">
        <v>-8</v>
      </c>
      <c r="L114" s="298">
        <v>35</v>
      </c>
      <c r="M114" s="158">
        <v>400</v>
      </c>
      <c r="N114" s="77">
        <v>4</v>
      </c>
      <c r="O114" s="212"/>
      <c r="P114" s="212"/>
      <c r="Q114" s="77">
        <v>369</v>
      </c>
      <c r="R114" s="212"/>
      <c r="S114" s="133"/>
    </row>
    <row r="115" spans="2:19" ht="30.75" thickBot="1" x14ac:dyDescent="0.3">
      <c r="B115" s="243" t="s">
        <v>204</v>
      </c>
      <c r="C115" s="250" t="s">
        <v>109</v>
      </c>
      <c r="D115" s="270">
        <v>225</v>
      </c>
      <c r="E115" s="277">
        <f t="shared" si="21"/>
        <v>159.07499999999999</v>
      </c>
      <c r="F115" s="225"/>
      <c r="G115" s="225"/>
      <c r="H115" s="225"/>
      <c r="I115" s="267"/>
      <c r="J115" s="302">
        <v>0.9</v>
      </c>
      <c r="K115" s="303">
        <v>-8</v>
      </c>
      <c r="L115" s="304">
        <v>35</v>
      </c>
      <c r="M115" s="246">
        <v>400</v>
      </c>
      <c r="N115" s="80">
        <v>4</v>
      </c>
      <c r="O115" s="225"/>
      <c r="P115" s="225"/>
      <c r="Q115" s="80">
        <v>369</v>
      </c>
      <c r="R115" s="225"/>
      <c r="S115" s="135"/>
    </row>
    <row r="116" spans="2:19" ht="30" x14ac:dyDescent="0.25">
      <c r="B116" s="178" t="s">
        <v>205</v>
      </c>
      <c r="C116" s="249" t="s">
        <v>109</v>
      </c>
      <c r="D116" s="268">
        <v>300</v>
      </c>
      <c r="E116" s="274">
        <f t="shared" si="21"/>
        <v>212.1</v>
      </c>
      <c r="F116" s="244"/>
      <c r="G116" s="244"/>
      <c r="H116" s="244"/>
      <c r="I116" s="266"/>
      <c r="J116" s="293">
        <v>0.9</v>
      </c>
      <c r="K116" s="294">
        <v>-8</v>
      </c>
      <c r="L116" s="295">
        <v>35</v>
      </c>
      <c r="M116" s="184">
        <v>400</v>
      </c>
      <c r="N116" s="74">
        <v>3</v>
      </c>
      <c r="O116" s="244"/>
      <c r="P116" s="244"/>
      <c r="Q116" s="74">
        <v>437</v>
      </c>
      <c r="R116" s="244"/>
      <c r="S116" s="245"/>
    </row>
    <row r="117" spans="2:19" ht="30" x14ac:dyDescent="0.25">
      <c r="B117" s="179" t="s">
        <v>206</v>
      </c>
      <c r="C117" s="131" t="s">
        <v>109</v>
      </c>
      <c r="D117" s="269">
        <v>275</v>
      </c>
      <c r="E117" s="275">
        <f t="shared" si="21"/>
        <v>194.42499999999998</v>
      </c>
      <c r="F117" s="212"/>
      <c r="G117" s="212"/>
      <c r="H117" s="212"/>
      <c r="I117" s="237"/>
      <c r="J117" s="296">
        <v>0.9</v>
      </c>
      <c r="K117" s="297">
        <v>-8</v>
      </c>
      <c r="L117" s="298">
        <v>35</v>
      </c>
      <c r="M117" s="158">
        <v>400</v>
      </c>
      <c r="N117" s="77">
        <v>3</v>
      </c>
      <c r="O117" s="212"/>
      <c r="P117" s="212"/>
      <c r="Q117" s="77">
        <v>437</v>
      </c>
      <c r="R117" s="212"/>
      <c r="S117" s="133"/>
    </row>
    <row r="118" spans="2:19" ht="30" x14ac:dyDescent="0.25">
      <c r="B118" s="179" t="s">
        <v>207</v>
      </c>
      <c r="C118" s="131" t="s">
        <v>109</v>
      </c>
      <c r="D118" s="269">
        <v>250</v>
      </c>
      <c r="E118" s="275">
        <f t="shared" si="21"/>
        <v>176.75</v>
      </c>
      <c r="F118" s="212"/>
      <c r="G118" s="212"/>
      <c r="H118" s="212"/>
      <c r="I118" s="237"/>
      <c r="J118" s="296">
        <v>0.9</v>
      </c>
      <c r="K118" s="297">
        <v>-8</v>
      </c>
      <c r="L118" s="298">
        <v>35</v>
      </c>
      <c r="M118" s="158">
        <v>400</v>
      </c>
      <c r="N118" s="77">
        <v>3</v>
      </c>
      <c r="O118" s="212"/>
      <c r="P118" s="212"/>
      <c r="Q118" s="77">
        <v>437</v>
      </c>
      <c r="R118" s="212"/>
      <c r="S118" s="133"/>
    </row>
    <row r="119" spans="2:19" ht="30.75" thickBot="1" x14ac:dyDescent="0.3">
      <c r="B119" s="243" t="s">
        <v>208</v>
      </c>
      <c r="C119" s="250" t="s">
        <v>109</v>
      </c>
      <c r="D119" s="270">
        <v>225</v>
      </c>
      <c r="E119" s="277">
        <f t="shared" si="21"/>
        <v>159.07499999999999</v>
      </c>
      <c r="F119" s="225"/>
      <c r="G119" s="225"/>
      <c r="H119" s="225"/>
      <c r="I119" s="267"/>
      <c r="J119" s="299">
        <v>0.9</v>
      </c>
      <c r="K119" s="300">
        <v>-8</v>
      </c>
      <c r="L119" s="301">
        <v>35</v>
      </c>
      <c r="M119" s="246">
        <v>400</v>
      </c>
      <c r="N119" s="80">
        <v>3</v>
      </c>
      <c r="O119" s="225"/>
      <c r="P119" s="225"/>
      <c r="Q119" s="80">
        <v>437</v>
      </c>
      <c r="R119" s="225"/>
      <c r="S119" s="135"/>
    </row>
  </sheetData>
  <mergeCells count="17">
    <mergeCell ref="B1:S1"/>
    <mergeCell ref="B12:S12"/>
    <mergeCell ref="B29:S29"/>
    <mergeCell ref="T24:T28"/>
    <mergeCell ref="B35:S35"/>
    <mergeCell ref="B34:S34"/>
    <mergeCell ref="B11:S11"/>
    <mergeCell ref="B41:S41"/>
    <mergeCell ref="B48:S48"/>
    <mergeCell ref="B57:S57"/>
    <mergeCell ref="B58:S58"/>
    <mergeCell ref="B65:S65"/>
    <mergeCell ref="B75:S75"/>
    <mergeCell ref="B88:S88"/>
    <mergeCell ref="B89:S89"/>
    <mergeCell ref="B97:S97"/>
    <mergeCell ref="B107:S107"/>
  </mergeCells>
  <pageMargins left="0.75" right="0.5" top="0.75" bottom="0.25" header="0.05" footer="0.3"/>
  <pageSetup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1"/>
  <sheetViews>
    <sheetView workbookViewId="0">
      <selection activeCell="F28" sqref="F28"/>
    </sheetView>
  </sheetViews>
  <sheetFormatPr defaultRowHeight="15" x14ac:dyDescent="0.25"/>
  <cols>
    <col min="2" max="2" width="10.42578125" bestFit="1" customWidth="1"/>
    <col min="3" max="3" width="11" customWidth="1"/>
    <col min="6" max="6" width="10.42578125" bestFit="1" customWidth="1"/>
    <col min="10" max="10" width="10.42578125" bestFit="1" customWidth="1"/>
    <col min="12" max="12" width="9" bestFit="1" customWidth="1"/>
    <col min="13" max="13" width="12.140625" customWidth="1"/>
    <col min="14" max="14" width="11.85546875" customWidth="1"/>
    <col min="18" max="18" width="12.85546875" customWidth="1"/>
  </cols>
  <sheetData>
    <row r="3" spans="1:18" x14ac:dyDescent="0.25">
      <c r="A3" s="33"/>
      <c r="B3" s="435" t="s">
        <v>80</v>
      </c>
      <c r="C3" s="435"/>
      <c r="D3" s="435"/>
      <c r="E3" s="435"/>
      <c r="F3" s="435"/>
      <c r="G3" s="33"/>
    </row>
    <row r="4" spans="1:18" x14ac:dyDescent="0.25">
      <c r="A4" s="33"/>
      <c r="B4" s="34" t="s">
        <v>38</v>
      </c>
      <c r="C4" s="34" t="s">
        <v>39</v>
      </c>
      <c r="D4" s="34" t="s">
        <v>40</v>
      </c>
      <c r="E4" s="34" t="s">
        <v>41</v>
      </c>
      <c r="F4" s="34" t="s">
        <v>42</v>
      </c>
      <c r="G4" s="33"/>
      <c r="H4" s="431" t="s">
        <v>47</v>
      </c>
      <c r="I4" s="431"/>
      <c r="J4" s="431" t="s">
        <v>48</v>
      </c>
      <c r="K4" s="431"/>
      <c r="M4" s="431" t="s">
        <v>57</v>
      </c>
      <c r="N4" s="431"/>
      <c r="P4" s="431" t="s">
        <v>77</v>
      </c>
      <c r="Q4" s="431"/>
      <c r="R4" s="431"/>
    </row>
    <row r="5" spans="1:18" x14ac:dyDescent="0.25">
      <c r="A5" s="33"/>
      <c r="B5" s="35">
        <v>36</v>
      </c>
      <c r="C5" s="35">
        <v>28</v>
      </c>
      <c r="D5" s="35">
        <v>20</v>
      </c>
      <c r="E5" s="35">
        <v>12</v>
      </c>
      <c r="F5" s="35" t="s">
        <v>79</v>
      </c>
      <c r="G5" s="33"/>
      <c r="H5" s="433">
        <v>18</v>
      </c>
      <c r="I5" s="433"/>
      <c r="J5" s="434">
        <f>H5*2*PI()/60</f>
        <v>1.8849555921538759</v>
      </c>
      <c r="K5" s="434"/>
      <c r="M5" s="429">
        <v>8</v>
      </c>
      <c r="N5" s="429"/>
      <c r="P5" s="429">
        <v>1.2445999999999999</v>
      </c>
      <c r="Q5" s="429"/>
      <c r="R5" s="429"/>
    </row>
    <row r="6" spans="1:18" ht="15.75" thickBot="1" x14ac:dyDescent="0.3">
      <c r="A6" s="33"/>
      <c r="B6" s="207"/>
      <c r="C6" s="207"/>
      <c r="D6" s="207"/>
      <c r="E6" s="207"/>
      <c r="F6" s="207"/>
      <c r="G6" s="33"/>
      <c r="H6" s="208"/>
      <c r="I6" s="208"/>
      <c r="J6" s="209"/>
      <c r="K6" s="209"/>
      <c r="M6" s="40"/>
      <c r="N6" s="40"/>
      <c r="P6" s="40"/>
      <c r="Q6" s="40"/>
    </row>
    <row r="7" spans="1:18" x14ac:dyDescent="0.25">
      <c r="A7" s="257" t="s">
        <v>125</v>
      </c>
      <c r="B7" s="425" t="s">
        <v>124</v>
      </c>
      <c r="C7" s="426"/>
      <c r="D7" s="207"/>
      <c r="E7" s="207"/>
      <c r="F7" s="207"/>
      <c r="G7" s="33"/>
      <c r="H7" s="208"/>
      <c r="I7" s="208"/>
      <c r="J7" s="209"/>
      <c r="K7" s="209"/>
      <c r="M7" s="40"/>
      <c r="N7" s="40"/>
      <c r="P7" s="40"/>
      <c r="Q7" s="40"/>
    </row>
    <row r="8" spans="1:18" ht="15.75" thickBot="1" x14ac:dyDescent="0.3">
      <c r="A8" s="33"/>
      <c r="B8" s="427">
        <v>6</v>
      </c>
      <c r="C8" s="428"/>
      <c r="D8" s="207"/>
      <c r="E8" s="207"/>
      <c r="F8" s="207"/>
      <c r="G8" s="33"/>
      <c r="H8" s="208"/>
      <c r="I8" s="208"/>
      <c r="J8" s="209"/>
      <c r="K8" s="209"/>
      <c r="M8" s="40"/>
      <c r="N8" s="40"/>
      <c r="P8" s="40"/>
      <c r="Q8" s="40"/>
    </row>
    <row r="9" spans="1:18" x14ac:dyDescent="0.25">
      <c r="A9" s="33"/>
      <c r="B9" s="33"/>
      <c r="C9" s="33"/>
      <c r="D9" s="33"/>
      <c r="E9" s="33"/>
      <c r="F9" s="33"/>
      <c r="G9" s="33"/>
    </row>
    <row r="10" spans="1:18" x14ac:dyDescent="0.25">
      <c r="B10" s="431" t="s">
        <v>99</v>
      </c>
      <c r="C10" s="431"/>
      <c r="E10" s="431" t="s">
        <v>44</v>
      </c>
      <c r="F10" s="431"/>
      <c r="H10" s="431" t="s">
        <v>45</v>
      </c>
      <c r="I10" s="431"/>
      <c r="J10" s="431" t="s">
        <v>53</v>
      </c>
      <c r="K10" s="431"/>
      <c r="M10" s="431" t="s">
        <v>58</v>
      </c>
      <c r="N10" s="431"/>
    </row>
    <row r="11" spans="1:18" x14ac:dyDescent="0.25">
      <c r="B11" s="429">
        <f>0.3*PI()*(((B8/1000)+0.02)^2 - 0.02^2)</f>
        <v>2.6012387171723503E-4</v>
      </c>
      <c r="C11" s="429"/>
      <c r="E11" s="429">
        <v>917</v>
      </c>
      <c r="F11" s="429"/>
      <c r="H11" s="432">
        <f>M5*B11*E11</f>
        <v>1.9082687229176363</v>
      </c>
      <c r="I11" s="432"/>
      <c r="J11" s="432">
        <f>B11*M11*E11</f>
        <v>7.2705038343161943E-2</v>
      </c>
      <c r="K11" s="432"/>
      <c r="M11" s="429">
        <v>0.30480000000000002</v>
      </c>
      <c r="N11" s="429"/>
    </row>
    <row r="12" spans="1:18" x14ac:dyDescent="0.25">
      <c r="B12" s="40"/>
      <c r="C12" s="40"/>
      <c r="E12" s="40"/>
      <c r="F12" s="40"/>
      <c r="H12" s="41"/>
      <c r="I12" s="41"/>
      <c r="J12" s="41"/>
      <c r="K12" s="41"/>
      <c r="M12" s="40"/>
      <c r="N12" s="40"/>
    </row>
    <row r="14" spans="1:18" x14ac:dyDescent="0.25">
      <c r="B14" s="430" t="s">
        <v>43</v>
      </c>
      <c r="C14" s="430"/>
      <c r="D14" s="430"/>
      <c r="F14" s="430" t="s">
        <v>54</v>
      </c>
      <c r="G14" s="430"/>
      <c r="H14" s="430"/>
      <c r="J14" s="430" t="s">
        <v>55</v>
      </c>
      <c r="K14" s="430"/>
      <c r="L14" s="430"/>
      <c r="N14" s="430" t="s">
        <v>56</v>
      </c>
      <c r="O14" s="430"/>
      <c r="P14" s="430"/>
    </row>
    <row r="15" spans="1:18" x14ac:dyDescent="0.25">
      <c r="B15" s="37" t="s">
        <v>46</v>
      </c>
      <c r="C15" s="38">
        <f>H11*(J5^2)*B5</f>
        <v>244.08679172475115</v>
      </c>
      <c r="D15" s="37" t="s">
        <v>49</v>
      </c>
      <c r="E15" s="36"/>
      <c r="F15" s="37" t="s">
        <v>46</v>
      </c>
      <c r="G15" s="38">
        <f>H11*C5*(J5^2)</f>
        <v>189.84528245258423</v>
      </c>
      <c r="H15" s="37" t="s">
        <v>49</v>
      </c>
      <c r="I15" s="36"/>
      <c r="J15" s="37" t="s">
        <v>46</v>
      </c>
      <c r="K15" s="38">
        <f>H11*D5*(J5^2)</f>
        <v>135.60377318041731</v>
      </c>
      <c r="L15" s="37" t="s">
        <v>49</v>
      </c>
      <c r="M15" s="36"/>
      <c r="N15" s="37" t="s">
        <v>46</v>
      </c>
      <c r="O15" s="38">
        <f>H11*E5*(J5^2)</f>
        <v>81.362263908250384</v>
      </c>
      <c r="P15" s="37" t="s">
        <v>49</v>
      </c>
    </row>
    <row r="16" spans="1:18" x14ac:dyDescent="0.25">
      <c r="B16" s="39" t="s">
        <v>50</v>
      </c>
      <c r="C16" s="42">
        <f>SQRT(C15/(J11*P5))</f>
        <v>51.936776024552429</v>
      </c>
      <c r="D16" s="37" t="s">
        <v>51</v>
      </c>
      <c r="E16" s="36"/>
      <c r="F16" s="39" t="s">
        <v>50</v>
      </c>
      <c r="G16" s="42">
        <f>SQRT(G15/(J11*P5))</f>
        <v>45.803931086475856</v>
      </c>
      <c r="H16" s="37" t="s">
        <v>51</v>
      </c>
      <c r="I16" s="36"/>
      <c r="J16" s="39" t="s">
        <v>50</v>
      </c>
      <c r="K16" s="42">
        <f>SQRT(K15/(J11*P5))</f>
        <v>38.711387241026834</v>
      </c>
      <c r="L16" s="37" t="s">
        <v>51</v>
      </c>
      <c r="M16" s="36"/>
      <c r="N16" s="39" t="s">
        <v>50</v>
      </c>
      <c r="O16" s="42">
        <f>SQRT(O15/(J11*P5))</f>
        <v>29.985711618616644</v>
      </c>
      <c r="P16" s="37" t="s">
        <v>51</v>
      </c>
    </row>
    <row r="17" spans="1:16" x14ac:dyDescent="0.25">
      <c r="B17" s="39" t="s">
        <v>50</v>
      </c>
      <c r="C17" s="42">
        <f>C16*60/(2*PI())</f>
        <v>495.95967795384939</v>
      </c>
      <c r="D17" s="37" t="s">
        <v>52</v>
      </c>
      <c r="E17" s="36"/>
      <c r="F17" s="39" t="s">
        <v>50</v>
      </c>
      <c r="G17" s="42">
        <f>60*G16/(2*PI())</f>
        <v>437.39532272718969</v>
      </c>
      <c r="H17" s="37" t="s">
        <v>52</v>
      </c>
      <c r="I17" s="36"/>
      <c r="J17" s="39" t="s">
        <v>50</v>
      </c>
      <c r="K17" s="42">
        <f>K16*60/(2*PI())</f>
        <v>369.66651800123697</v>
      </c>
      <c r="L17" s="37" t="s">
        <v>52</v>
      </c>
      <c r="M17" s="36"/>
      <c r="N17" s="39" t="s">
        <v>50</v>
      </c>
      <c r="O17" s="42">
        <f>O16*60/(2*PI())</f>
        <v>286.34245357385504</v>
      </c>
      <c r="P17" s="37" t="s">
        <v>52</v>
      </c>
    </row>
    <row r="26" spans="1:16" x14ac:dyDescent="0.25">
      <c r="A26" s="210"/>
      <c r="B26" s="210"/>
      <c r="C26" s="210"/>
      <c r="D26" s="210"/>
    </row>
    <row r="27" spans="1:16" x14ac:dyDescent="0.25">
      <c r="A27" s="210"/>
      <c r="B27" s="210"/>
      <c r="C27" s="210"/>
      <c r="D27" s="210"/>
    </row>
    <row r="28" spans="1:16" x14ac:dyDescent="0.25">
      <c r="A28" s="210"/>
      <c r="B28" s="210"/>
      <c r="C28" s="210"/>
      <c r="D28" s="210"/>
    </row>
    <row r="29" spans="1:16" x14ac:dyDescent="0.25">
      <c r="A29" s="210"/>
      <c r="B29" s="211"/>
      <c r="C29" s="211"/>
      <c r="D29" s="210"/>
    </row>
    <row r="30" spans="1:16" x14ac:dyDescent="0.25">
      <c r="A30" s="210"/>
      <c r="B30" s="211"/>
      <c r="C30" s="211"/>
      <c r="D30" s="210"/>
    </row>
    <row r="31" spans="1:16" x14ac:dyDescent="0.25">
      <c r="A31" s="210"/>
      <c r="B31" s="210"/>
      <c r="C31" s="210"/>
      <c r="D31" s="210"/>
    </row>
  </sheetData>
  <mergeCells count="25">
    <mergeCell ref="P4:R4"/>
    <mergeCell ref="N14:P14"/>
    <mergeCell ref="M4:N4"/>
    <mergeCell ref="M5:N5"/>
    <mergeCell ref="M10:N10"/>
    <mergeCell ref="M11:N11"/>
    <mergeCell ref="H4:I4"/>
    <mergeCell ref="H5:I5"/>
    <mergeCell ref="J4:K4"/>
    <mergeCell ref="J5:K5"/>
    <mergeCell ref="B3:F3"/>
    <mergeCell ref="B7:C7"/>
    <mergeCell ref="B8:C8"/>
    <mergeCell ref="P5:R5"/>
    <mergeCell ref="B14:D14"/>
    <mergeCell ref="J10:K10"/>
    <mergeCell ref="J11:K11"/>
    <mergeCell ref="F14:H14"/>
    <mergeCell ref="B10:C10"/>
    <mergeCell ref="B11:C11"/>
    <mergeCell ref="E10:F10"/>
    <mergeCell ref="E11:F11"/>
    <mergeCell ref="H10:I10"/>
    <mergeCell ref="H11:I11"/>
    <mergeCell ref="J14:L14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Q32" sqref="Q32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5123" r:id="rId4">
          <objectPr defaultSize="0" autoPict="0" r:id="rId5">
            <anchor moveWithCells="1">
              <from>
                <xdr:col>0</xdr:col>
                <xdr:colOff>123825</xdr:colOff>
                <xdr:row>17</xdr:row>
                <xdr:rowOff>47625</xdr:rowOff>
              </from>
              <to>
                <xdr:col>9</xdr:col>
                <xdr:colOff>581025</xdr:colOff>
                <xdr:row>30</xdr:row>
                <xdr:rowOff>171450</xdr:rowOff>
              </to>
            </anchor>
          </objectPr>
        </oleObject>
      </mc:Choice>
      <mc:Fallback>
        <oleObject progId="Word.Document.12" shapeId="5123" r:id="rId4"/>
      </mc:Fallback>
    </mc:AlternateContent>
    <mc:AlternateContent xmlns:mc="http://schemas.openxmlformats.org/markup-compatibility/2006">
      <mc:Choice Requires="x14">
        <oleObject progId="Word.Document.12" shapeId="5124" r:id="rId6">
          <objectPr defaultSize="0" r:id="rId7">
            <anchor moveWithCells="1">
              <from>
                <xdr:col>0</xdr:col>
                <xdr:colOff>123825</xdr:colOff>
                <xdr:row>0</xdr:row>
                <xdr:rowOff>66675</xdr:rowOff>
              </from>
              <to>
                <xdr:col>9</xdr:col>
                <xdr:colOff>581025</xdr:colOff>
                <xdr:row>16</xdr:row>
                <xdr:rowOff>180975</xdr:rowOff>
              </to>
            </anchor>
          </objectPr>
        </oleObject>
      </mc:Choice>
      <mc:Fallback>
        <oleObject progId="Word.Document.12" shapeId="5124" r:id="rId6"/>
      </mc:Fallback>
    </mc:AlternateContent>
    <mc:AlternateContent xmlns:mc="http://schemas.openxmlformats.org/markup-compatibility/2006">
      <mc:Choice Requires="x14">
        <oleObject progId="Word.Document.12" shapeId="5126" r:id="rId8">
          <objectPr defaultSize="0" r:id="rId9">
            <anchor moveWithCells="1">
              <from>
                <xdr:col>10</xdr:col>
                <xdr:colOff>371475</xdr:colOff>
                <xdr:row>5</xdr:row>
                <xdr:rowOff>161925</xdr:rowOff>
              </from>
              <to>
                <xdr:col>20</xdr:col>
                <xdr:colOff>400050</xdr:colOff>
                <xdr:row>26</xdr:row>
                <xdr:rowOff>38100</xdr:rowOff>
              </to>
            </anchor>
          </objectPr>
        </oleObject>
      </mc:Choice>
      <mc:Fallback>
        <oleObject progId="Word.Document.12" shapeId="5126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workbookViewId="0">
      <selection activeCell="D4" sqref="D4:D7"/>
    </sheetView>
  </sheetViews>
  <sheetFormatPr defaultRowHeight="15" x14ac:dyDescent="0.25"/>
  <cols>
    <col min="4" max="4" width="13.7109375" bestFit="1" customWidth="1"/>
    <col min="5" max="5" width="13.140625" bestFit="1" customWidth="1"/>
  </cols>
  <sheetData>
    <row r="1" spans="2:5" ht="15.75" thickBot="1" x14ac:dyDescent="0.3"/>
    <row r="2" spans="2:5" x14ac:dyDescent="0.25">
      <c r="B2" s="436" t="s">
        <v>91</v>
      </c>
      <c r="C2" s="437"/>
      <c r="D2" s="438"/>
      <c r="E2" s="439"/>
    </row>
    <row r="3" spans="2:5" x14ac:dyDescent="0.25">
      <c r="B3" s="118"/>
      <c r="C3" s="111" t="s">
        <v>89</v>
      </c>
      <c r="D3" s="119" t="s">
        <v>95</v>
      </c>
      <c r="E3" s="112" t="s">
        <v>90</v>
      </c>
    </row>
    <row r="4" spans="2:5" x14ac:dyDescent="0.25">
      <c r="B4" s="116" t="s">
        <v>88</v>
      </c>
      <c r="C4" s="114">
        <v>0.26700000000000002</v>
      </c>
      <c r="D4" s="120">
        <v>22.65</v>
      </c>
      <c r="E4" s="113">
        <v>174</v>
      </c>
    </row>
    <row r="5" spans="2:5" x14ac:dyDescent="0.25">
      <c r="B5" s="116" t="s">
        <v>92</v>
      </c>
      <c r="C5" s="114">
        <v>0.44400000000000001</v>
      </c>
      <c r="D5" s="120">
        <v>37.659999999999997</v>
      </c>
      <c r="E5" s="113">
        <v>289</v>
      </c>
    </row>
    <row r="6" spans="2:5" x14ac:dyDescent="0.25">
      <c r="B6" s="116" t="s">
        <v>93</v>
      </c>
      <c r="C6" s="114">
        <v>0.622</v>
      </c>
      <c r="D6" s="120">
        <v>52.76</v>
      </c>
      <c r="E6" s="113">
        <v>405</v>
      </c>
    </row>
    <row r="7" spans="2:5" ht="15.75" thickBot="1" x14ac:dyDescent="0.3">
      <c r="B7" s="117" t="s">
        <v>94</v>
      </c>
      <c r="C7" s="115">
        <v>0.8</v>
      </c>
      <c r="D7" s="121">
        <v>67.86</v>
      </c>
      <c r="E7" s="106">
        <v>521</v>
      </c>
    </row>
  </sheetData>
  <mergeCells count="1">
    <mergeCell ref="B2:E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Y26"/>
  <sheetViews>
    <sheetView workbookViewId="0">
      <selection activeCell="T31" sqref="T31"/>
    </sheetView>
  </sheetViews>
  <sheetFormatPr defaultRowHeight="15" x14ac:dyDescent="0.25"/>
  <cols>
    <col min="4" max="4" width="8.28515625" customWidth="1"/>
    <col min="9" max="9" width="10.42578125" customWidth="1"/>
    <col min="11" max="11" width="15" bestFit="1" customWidth="1"/>
    <col min="13" max="13" width="10.7109375" customWidth="1"/>
    <col min="17" max="17" width="10.28515625" customWidth="1"/>
    <col min="18" max="18" width="15" bestFit="1" customWidth="1"/>
    <col min="21" max="21" width="10.85546875" customWidth="1"/>
    <col min="22" max="22" width="15" bestFit="1" customWidth="1"/>
    <col min="24" max="24" width="15" bestFit="1" customWidth="1"/>
  </cols>
  <sheetData>
    <row r="1" spans="4:25" ht="15.75" thickBot="1" x14ac:dyDescent="0.3"/>
    <row r="2" spans="4:25" ht="15.75" thickBot="1" x14ac:dyDescent="0.3">
      <c r="D2" s="440" t="s">
        <v>124</v>
      </c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2"/>
    </row>
    <row r="3" spans="4:25" ht="15.75" thickBot="1" x14ac:dyDescent="0.3">
      <c r="D3" s="445" t="s">
        <v>219</v>
      </c>
      <c r="E3" s="443" t="s">
        <v>89</v>
      </c>
      <c r="F3" s="447" t="s">
        <v>215</v>
      </c>
      <c r="G3" s="448"/>
      <c r="H3" s="448"/>
      <c r="I3" s="449"/>
      <c r="J3" s="447" t="s">
        <v>214</v>
      </c>
      <c r="K3" s="448"/>
      <c r="L3" s="448"/>
      <c r="M3" s="449"/>
      <c r="N3" s="447" t="s">
        <v>216</v>
      </c>
      <c r="O3" s="448"/>
      <c r="P3" s="448"/>
      <c r="Q3" s="449"/>
    </row>
    <row r="4" spans="4:25" ht="30.75" thickBot="1" x14ac:dyDescent="0.3">
      <c r="D4" s="446"/>
      <c r="E4" s="444"/>
      <c r="F4" s="326" t="s">
        <v>211</v>
      </c>
      <c r="G4" s="327" t="s">
        <v>212</v>
      </c>
      <c r="H4" s="328" t="s">
        <v>213</v>
      </c>
      <c r="I4" s="374" t="s">
        <v>227</v>
      </c>
      <c r="J4" s="330" t="s">
        <v>211</v>
      </c>
      <c r="K4" s="327" t="s">
        <v>212</v>
      </c>
      <c r="L4" s="329" t="s">
        <v>213</v>
      </c>
      <c r="M4" s="374" t="s">
        <v>227</v>
      </c>
      <c r="N4" s="326" t="s">
        <v>211</v>
      </c>
      <c r="O4" s="327" t="s">
        <v>212</v>
      </c>
      <c r="P4" s="328" t="s">
        <v>213</v>
      </c>
      <c r="Q4" s="374" t="s">
        <v>227</v>
      </c>
    </row>
    <row r="5" spans="4:25" x14ac:dyDescent="0.25">
      <c r="D5" s="4">
        <v>4</v>
      </c>
      <c r="E5" s="315">
        <v>26.7</v>
      </c>
      <c r="F5" s="4">
        <v>1.7</v>
      </c>
      <c r="G5" s="314">
        <v>3.2</v>
      </c>
      <c r="H5" s="316">
        <v>4.5999999999999996</v>
      </c>
      <c r="I5" s="375">
        <v>0.72499999999999998</v>
      </c>
      <c r="J5" s="367">
        <v>2.1</v>
      </c>
      <c r="K5" s="314">
        <v>3.5</v>
      </c>
      <c r="L5" s="316">
        <v>5.2</v>
      </c>
      <c r="M5" s="375">
        <v>0.77500000000000002</v>
      </c>
      <c r="N5" s="367">
        <v>3.5</v>
      </c>
      <c r="O5" s="314">
        <v>5.5</v>
      </c>
      <c r="P5" s="315">
        <v>8</v>
      </c>
      <c r="Q5" s="375">
        <v>1.125</v>
      </c>
    </row>
    <row r="6" spans="4:25" x14ac:dyDescent="0.25">
      <c r="D6" s="5">
        <v>3</v>
      </c>
      <c r="E6" s="113">
        <v>44.4</v>
      </c>
      <c r="F6" s="5">
        <v>2.4</v>
      </c>
      <c r="G6" s="310">
        <v>4.4000000000000004</v>
      </c>
      <c r="H6" s="313">
        <v>6.2</v>
      </c>
      <c r="I6" s="376">
        <v>0.95</v>
      </c>
      <c r="J6" s="368">
        <v>3.2</v>
      </c>
      <c r="K6" s="310">
        <v>5.2</v>
      </c>
      <c r="L6" s="313">
        <v>7.1</v>
      </c>
      <c r="M6" s="376">
        <v>0.97499999999999998</v>
      </c>
      <c r="N6" s="368">
        <v>5</v>
      </c>
      <c r="O6" s="310">
        <v>7.5</v>
      </c>
      <c r="P6" s="113">
        <v>10.5</v>
      </c>
      <c r="Q6" s="376">
        <v>1.375</v>
      </c>
    </row>
    <row r="7" spans="4:25" ht="15.75" thickBot="1" x14ac:dyDescent="0.3">
      <c r="D7" s="308">
        <v>2</v>
      </c>
      <c r="E7" s="309">
        <v>62.2</v>
      </c>
      <c r="F7" s="308">
        <v>3</v>
      </c>
      <c r="G7" s="227">
        <v>5.2</v>
      </c>
      <c r="H7" s="320">
        <v>7.5</v>
      </c>
      <c r="I7" s="377">
        <v>1.125</v>
      </c>
      <c r="J7" s="369">
        <v>3.9</v>
      </c>
      <c r="K7" s="227">
        <v>6.5</v>
      </c>
      <c r="L7" s="320">
        <v>8.6</v>
      </c>
      <c r="M7" s="377">
        <v>1.175</v>
      </c>
      <c r="N7" s="369">
        <v>6.5</v>
      </c>
      <c r="O7" s="227">
        <v>9.5</v>
      </c>
      <c r="P7" s="309">
        <v>12.8</v>
      </c>
      <c r="Q7" s="377">
        <v>1.575</v>
      </c>
    </row>
    <row r="9" spans="4:25" ht="15.75" thickBot="1" x14ac:dyDescent="0.3"/>
    <row r="10" spans="4:25" ht="15.75" thickBot="1" x14ac:dyDescent="0.3">
      <c r="G10" s="440" t="s">
        <v>214</v>
      </c>
      <c r="H10" s="441"/>
      <c r="I10" s="441"/>
      <c r="J10" s="441"/>
      <c r="K10" s="441"/>
      <c r="L10" s="442"/>
      <c r="M10" s="373"/>
      <c r="O10" s="440" t="s">
        <v>215</v>
      </c>
      <c r="P10" s="441"/>
      <c r="Q10" s="441"/>
      <c r="R10" s="441"/>
      <c r="S10" s="442"/>
      <c r="V10" s="440" t="s">
        <v>216</v>
      </c>
      <c r="W10" s="441"/>
      <c r="X10" s="441"/>
      <c r="Y10" s="442"/>
    </row>
    <row r="11" spans="4:25" ht="15.75" thickBot="1" x14ac:dyDescent="0.3">
      <c r="G11" s="96"/>
      <c r="H11" s="97"/>
      <c r="I11" s="97"/>
      <c r="J11" s="97"/>
      <c r="K11" s="97"/>
      <c r="L11" s="98"/>
      <c r="M11" s="100"/>
      <c r="O11" s="96"/>
      <c r="P11" s="97"/>
      <c r="Q11" s="97"/>
      <c r="R11" s="97"/>
      <c r="S11" s="98"/>
      <c r="V11" s="99"/>
      <c r="W11" s="100"/>
      <c r="X11" s="100"/>
      <c r="Y11" s="101"/>
    </row>
    <row r="12" spans="4:25" x14ac:dyDescent="0.25">
      <c r="G12" s="99" t="s">
        <v>211</v>
      </c>
      <c r="H12" s="100"/>
      <c r="I12" s="100"/>
      <c r="J12" s="322">
        <v>26.7</v>
      </c>
      <c r="K12" s="245">
        <v>2.1</v>
      </c>
      <c r="L12" s="101"/>
      <c r="M12" s="100"/>
      <c r="O12" s="99" t="s">
        <v>211</v>
      </c>
      <c r="P12" s="99"/>
      <c r="Q12" s="322">
        <v>26.7</v>
      </c>
      <c r="R12" s="245">
        <v>1.7</v>
      </c>
      <c r="S12" s="101"/>
      <c r="V12" s="99" t="s">
        <v>211</v>
      </c>
      <c r="W12" s="322">
        <v>26.7</v>
      </c>
      <c r="X12" s="245">
        <v>3.5</v>
      </c>
      <c r="Y12" s="101"/>
    </row>
    <row r="13" spans="4:25" x14ac:dyDescent="0.25">
      <c r="G13" s="99"/>
      <c r="H13" s="100"/>
      <c r="I13" s="100"/>
      <c r="J13" s="132">
        <v>44.4</v>
      </c>
      <c r="K13" s="133">
        <v>3.2</v>
      </c>
      <c r="L13" s="101"/>
      <c r="M13" s="100"/>
      <c r="O13" s="99"/>
      <c r="P13" s="99"/>
      <c r="Q13" s="132">
        <v>44.4</v>
      </c>
      <c r="R13" s="133">
        <v>2.4</v>
      </c>
      <c r="S13" s="101"/>
      <c r="V13" s="99"/>
      <c r="W13" s="132">
        <v>44.4</v>
      </c>
      <c r="X13" s="133">
        <v>5</v>
      </c>
      <c r="Y13" s="101"/>
    </row>
    <row r="14" spans="4:25" ht="15.75" thickBot="1" x14ac:dyDescent="0.3">
      <c r="G14" s="99"/>
      <c r="H14" s="100"/>
      <c r="I14" s="100"/>
      <c r="J14" s="134">
        <v>62.2</v>
      </c>
      <c r="K14" s="135">
        <v>3.9</v>
      </c>
      <c r="L14" s="101"/>
      <c r="M14" s="100"/>
      <c r="O14" s="99"/>
      <c r="P14" s="99"/>
      <c r="Q14" s="134">
        <v>62.2</v>
      </c>
      <c r="R14" s="135">
        <v>3</v>
      </c>
      <c r="S14" s="101"/>
      <c r="V14" s="99"/>
      <c r="W14" s="134">
        <v>62.2</v>
      </c>
      <c r="X14" s="135">
        <v>6.5</v>
      </c>
      <c r="Y14" s="101"/>
    </row>
    <row r="15" spans="4:25" ht="15.75" thickBot="1" x14ac:dyDescent="0.3">
      <c r="G15" s="99"/>
      <c r="H15" s="100"/>
      <c r="I15" s="100"/>
      <c r="J15" s="100"/>
      <c r="K15" s="100"/>
      <c r="L15" s="101"/>
      <c r="M15" s="100"/>
      <c r="O15" s="99"/>
      <c r="P15" s="100"/>
      <c r="Q15" s="100"/>
      <c r="R15" s="100"/>
      <c r="S15" s="101"/>
      <c r="V15" s="99"/>
      <c r="W15" s="100"/>
      <c r="X15" s="100"/>
      <c r="Y15" s="101"/>
    </row>
    <row r="16" spans="4:25" x14ac:dyDescent="0.25">
      <c r="G16" s="99" t="s">
        <v>212</v>
      </c>
      <c r="H16" s="100"/>
      <c r="I16" s="100"/>
      <c r="J16" s="132" t="s">
        <v>89</v>
      </c>
      <c r="K16" s="133" t="s">
        <v>97</v>
      </c>
      <c r="L16" s="101"/>
      <c r="M16" s="100"/>
      <c r="O16" s="99" t="s">
        <v>212</v>
      </c>
      <c r="P16" s="99"/>
      <c r="Q16" s="132" t="s">
        <v>89</v>
      </c>
      <c r="R16" s="133" t="s">
        <v>97</v>
      </c>
      <c r="S16" s="101"/>
      <c r="V16" s="99" t="s">
        <v>212</v>
      </c>
      <c r="W16" s="322" t="s">
        <v>89</v>
      </c>
      <c r="X16" s="245" t="s">
        <v>97</v>
      </c>
      <c r="Y16" s="101"/>
    </row>
    <row r="17" spans="7:25" x14ac:dyDescent="0.25">
      <c r="G17" s="99"/>
      <c r="H17" s="100"/>
      <c r="I17" s="100"/>
      <c r="J17" s="132">
        <v>0</v>
      </c>
      <c r="K17" s="133"/>
      <c r="L17" s="101"/>
      <c r="M17" s="100"/>
      <c r="O17" s="99"/>
      <c r="P17" s="99"/>
      <c r="Q17" s="132">
        <v>0</v>
      </c>
      <c r="R17" s="133"/>
      <c r="S17" s="101"/>
      <c r="V17" s="99"/>
      <c r="W17" s="132">
        <v>0</v>
      </c>
      <c r="X17" s="133"/>
      <c r="Y17" s="101"/>
    </row>
    <row r="18" spans="7:25" x14ac:dyDescent="0.25">
      <c r="G18" s="99"/>
      <c r="H18" s="100"/>
      <c r="I18" s="100"/>
      <c r="J18" s="132">
        <v>26.7</v>
      </c>
      <c r="K18" s="133">
        <v>3.5</v>
      </c>
      <c r="L18" s="101"/>
      <c r="M18" s="100"/>
      <c r="O18" s="99"/>
      <c r="P18" s="99"/>
      <c r="Q18" s="132">
        <v>26.7</v>
      </c>
      <c r="R18" s="133">
        <v>3.2</v>
      </c>
      <c r="S18" s="101"/>
      <c r="V18" s="99"/>
      <c r="W18" s="132">
        <v>26.7</v>
      </c>
      <c r="X18" s="133">
        <v>5.5</v>
      </c>
      <c r="Y18" s="101"/>
    </row>
    <row r="19" spans="7:25" x14ac:dyDescent="0.25">
      <c r="G19" s="99"/>
      <c r="H19" s="100"/>
      <c r="I19" s="100"/>
      <c r="J19" s="132">
        <v>44.4</v>
      </c>
      <c r="K19" s="133">
        <v>5.2</v>
      </c>
      <c r="L19" s="101"/>
      <c r="M19" s="100"/>
      <c r="O19" s="99"/>
      <c r="P19" s="99"/>
      <c r="Q19" s="132">
        <v>44.4</v>
      </c>
      <c r="R19" s="133">
        <v>4.4000000000000004</v>
      </c>
      <c r="S19" s="101"/>
      <c r="V19" s="99"/>
      <c r="W19" s="132">
        <v>44.4</v>
      </c>
      <c r="X19" s="133">
        <v>7.5</v>
      </c>
      <c r="Y19" s="101"/>
    </row>
    <row r="20" spans="7:25" x14ac:dyDescent="0.25">
      <c r="G20" s="99"/>
      <c r="H20" s="100"/>
      <c r="I20" s="100"/>
      <c r="J20" s="132">
        <v>62.2</v>
      </c>
      <c r="K20" s="133">
        <v>6.5</v>
      </c>
      <c r="L20" s="101"/>
      <c r="M20" s="100"/>
      <c r="O20" s="99"/>
      <c r="P20" s="99"/>
      <c r="Q20" s="132">
        <v>62.2</v>
      </c>
      <c r="R20" s="133">
        <v>5.2</v>
      </c>
      <c r="S20" s="101"/>
      <c r="V20" s="99"/>
      <c r="W20" s="132">
        <v>62.2</v>
      </c>
      <c r="X20" s="133">
        <v>9.5</v>
      </c>
      <c r="Y20" s="101"/>
    </row>
    <row r="21" spans="7:25" ht="15.75" thickBot="1" x14ac:dyDescent="0.3">
      <c r="G21" s="99"/>
      <c r="H21" s="100"/>
      <c r="I21" s="100"/>
      <c r="J21" s="134">
        <v>80</v>
      </c>
      <c r="K21" s="135"/>
      <c r="L21" s="101"/>
      <c r="M21" s="100"/>
      <c r="O21" s="99"/>
      <c r="P21" s="99"/>
      <c r="Q21" s="134">
        <v>80</v>
      </c>
      <c r="R21" s="135"/>
      <c r="S21" s="101"/>
      <c r="V21" s="99"/>
      <c r="W21" s="134">
        <v>80</v>
      </c>
      <c r="X21" s="135"/>
      <c r="Y21" s="101"/>
    </row>
    <row r="22" spans="7:25" ht="15.75" thickBot="1" x14ac:dyDescent="0.3">
      <c r="G22" s="99"/>
      <c r="H22" s="100"/>
      <c r="I22" s="100"/>
      <c r="J22" s="100"/>
      <c r="K22" s="100"/>
      <c r="L22" s="101"/>
      <c r="M22" s="100"/>
      <c r="O22" s="99"/>
      <c r="P22" s="100"/>
      <c r="Q22" s="100"/>
      <c r="R22" s="100"/>
      <c r="S22" s="101"/>
      <c r="V22" s="99"/>
      <c r="W22" s="100"/>
      <c r="X22" s="100"/>
      <c r="Y22" s="101"/>
    </row>
    <row r="23" spans="7:25" x14ac:dyDescent="0.25">
      <c r="G23" s="99" t="s">
        <v>213</v>
      </c>
      <c r="H23" s="100"/>
      <c r="I23" s="100"/>
      <c r="J23" s="322">
        <v>26.7</v>
      </c>
      <c r="K23" s="245">
        <v>5.2</v>
      </c>
      <c r="L23" s="101"/>
      <c r="M23" s="100"/>
      <c r="O23" s="99" t="s">
        <v>213</v>
      </c>
      <c r="P23" s="99"/>
      <c r="Q23" s="322">
        <v>26.7</v>
      </c>
      <c r="R23" s="323">
        <v>4.5999999999999996</v>
      </c>
      <c r="S23" s="101"/>
      <c r="V23" s="99" t="s">
        <v>213</v>
      </c>
      <c r="W23" s="322">
        <v>26.7</v>
      </c>
      <c r="X23" s="245">
        <v>8</v>
      </c>
      <c r="Y23" s="101"/>
    </row>
    <row r="24" spans="7:25" x14ac:dyDescent="0.25">
      <c r="G24" s="99"/>
      <c r="H24" s="100"/>
      <c r="I24" s="100"/>
      <c r="J24" s="132">
        <v>44.4</v>
      </c>
      <c r="K24" s="133">
        <v>7.1</v>
      </c>
      <c r="L24" s="101"/>
      <c r="M24" s="100"/>
      <c r="O24" s="99"/>
      <c r="P24" s="99"/>
      <c r="Q24" s="132">
        <v>44.4</v>
      </c>
      <c r="R24" s="324">
        <v>6.2</v>
      </c>
      <c r="S24" s="101"/>
      <c r="V24" s="99"/>
      <c r="W24" s="132">
        <v>44.4</v>
      </c>
      <c r="X24" s="133">
        <v>10.5</v>
      </c>
      <c r="Y24" s="101"/>
    </row>
    <row r="25" spans="7:25" ht="15.75" thickBot="1" x14ac:dyDescent="0.3">
      <c r="G25" s="99"/>
      <c r="H25" s="100"/>
      <c r="I25" s="100"/>
      <c r="J25" s="134">
        <v>62.2</v>
      </c>
      <c r="K25" s="135">
        <v>8.6</v>
      </c>
      <c r="L25" s="101"/>
      <c r="M25" s="100"/>
      <c r="O25" s="99"/>
      <c r="P25" s="99"/>
      <c r="Q25" s="134">
        <v>62.2</v>
      </c>
      <c r="R25" s="325">
        <v>7.5</v>
      </c>
      <c r="S25" s="101"/>
      <c r="V25" s="99"/>
      <c r="W25" s="132">
        <v>62.2</v>
      </c>
      <c r="X25" s="133">
        <v>12.8</v>
      </c>
      <c r="Y25" s="101"/>
    </row>
    <row r="26" spans="7:25" ht="15.75" thickBot="1" x14ac:dyDescent="0.3">
      <c r="G26" s="103"/>
      <c r="H26" s="104"/>
      <c r="I26" s="104"/>
      <c r="J26" s="104"/>
      <c r="K26" s="104"/>
      <c r="L26" s="105"/>
      <c r="M26" s="100"/>
      <c r="O26" s="103"/>
      <c r="P26" s="104"/>
      <c r="Q26" s="104"/>
      <c r="R26" s="104"/>
      <c r="S26" s="105"/>
      <c r="V26" s="103"/>
      <c r="W26" s="103"/>
      <c r="X26" s="105"/>
      <c r="Y26" s="105"/>
    </row>
  </sheetData>
  <mergeCells count="9">
    <mergeCell ref="G10:L10"/>
    <mergeCell ref="O10:S10"/>
    <mergeCell ref="V10:Y10"/>
    <mergeCell ref="D2:Q2"/>
    <mergeCell ref="E3:E4"/>
    <mergeCell ref="D3:D4"/>
    <mergeCell ref="N3:Q3"/>
    <mergeCell ref="F3:I3"/>
    <mergeCell ref="J3:M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topLeftCell="B1" zoomScale="115" zoomScaleNormal="115" workbookViewId="0">
      <selection activeCell="J13" sqref="J13"/>
    </sheetView>
  </sheetViews>
  <sheetFormatPr defaultRowHeight="15" x14ac:dyDescent="0.25"/>
  <cols>
    <col min="4" max="4" width="20.42578125" customWidth="1"/>
    <col min="5" max="5" width="19.5703125" customWidth="1"/>
    <col min="6" max="6" width="18.140625" customWidth="1"/>
    <col min="7" max="7" width="19.5703125" customWidth="1"/>
    <col min="8" max="8" width="19" customWidth="1"/>
  </cols>
  <sheetData>
    <row r="1" spans="2:8" ht="15.75" thickBot="1" x14ac:dyDescent="0.3"/>
    <row r="2" spans="2:8" ht="15.75" thickBot="1" x14ac:dyDescent="0.3">
      <c r="B2" s="450" t="s">
        <v>221</v>
      </c>
      <c r="C2" s="451"/>
      <c r="D2" s="452"/>
      <c r="E2" s="344" t="s">
        <v>222</v>
      </c>
      <c r="F2" s="345" t="s">
        <v>220</v>
      </c>
      <c r="G2" s="346" t="s">
        <v>223</v>
      </c>
      <c r="H2" s="584" t="s">
        <v>262</v>
      </c>
    </row>
    <row r="3" spans="2:8" ht="45.75" thickBot="1" x14ac:dyDescent="0.3">
      <c r="B3" s="228" t="s">
        <v>129</v>
      </c>
      <c r="C3" s="341" t="s">
        <v>126</v>
      </c>
      <c r="D3" s="342" t="s">
        <v>127</v>
      </c>
      <c r="E3" s="343" t="s">
        <v>128</v>
      </c>
      <c r="F3" s="343" t="s">
        <v>128</v>
      </c>
      <c r="G3" s="583" t="s">
        <v>128</v>
      </c>
      <c r="H3" s="585" t="s">
        <v>128</v>
      </c>
    </row>
    <row r="4" spans="2:8" ht="15.75" thickBot="1" x14ac:dyDescent="0.3">
      <c r="B4" s="338">
        <v>300</v>
      </c>
      <c r="C4" s="4">
        <v>4</v>
      </c>
      <c r="D4" s="314">
        <v>0.26700000000000002</v>
      </c>
      <c r="E4" s="314">
        <v>6</v>
      </c>
      <c r="F4" s="314">
        <v>6.8</v>
      </c>
      <c r="G4" s="315">
        <v>7.2</v>
      </c>
      <c r="H4" s="587">
        <f>AVERAGE(E4:G4)</f>
        <v>6.666666666666667</v>
      </c>
    </row>
    <row r="5" spans="2:8" ht="15.75" thickBot="1" x14ac:dyDescent="0.3">
      <c r="B5" s="339">
        <v>300</v>
      </c>
      <c r="C5" s="5">
        <v>3</v>
      </c>
      <c r="D5" s="363">
        <v>0.44400000000000001</v>
      </c>
      <c r="E5" s="363">
        <v>4</v>
      </c>
      <c r="F5" s="363">
        <v>5</v>
      </c>
      <c r="G5" s="113">
        <v>5</v>
      </c>
      <c r="H5" s="587">
        <f>AVERAGE(E5:G5)</f>
        <v>4.666666666666667</v>
      </c>
    </row>
    <row r="6" spans="2:8" ht="15.75" thickBot="1" x14ac:dyDescent="0.3">
      <c r="B6" s="339">
        <v>300</v>
      </c>
      <c r="C6" s="5">
        <v>2</v>
      </c>
      <c r="D6" s="363">
        <v>0.622</v>
      </c>
      <c r="E6" s="363">
        <v>2.8</v>
      </c>
      <c r="F6" s="363">
        <v>3.7</v>
      </c>
      <c r="G6" s="113">
        <v>4</v>
      </c>
      <c r="H6" s="587">
        <f>AVERAGE(E6:G6)</f>
        <v>3.5</v>
      </c>
    </row>
    <row r="7" spans="2:8" ht="15.75" thickBot="1" x14ac:dyDescent="0.3">
      <c r="B7" s="340">
        <v>300</v>
      </c>
      <c r="C7" s="365">
        <v>1</v>
      </c>
      <c r="D7" s="227">
        <v>0.8</v>
      </c>
      <c r="E7" s="227">
        <v>2.5</v>
      </c>
      <c r="F7" s="586">
        <v>3.2</v>
      </c>
      <c r="G7" s="366">
        <v>3.8</v>
      </c>
      <c r="H7" s="588">
        <f>AVERAGE(E7:G7)</f>
        <v>3.1666666666666665</v>
      </c>
    </row>
  </sheetData>
  <mergeCells count="1">
    <mergeCell ref="B2:D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7"/>
  <sheetViews>
    <sheetView zoomScaleNormal="100" workbookViewId="0">
      <selection activeCell="Q11" sqref="Q11"/>
    </sheetView>
  </sheetViews>
  <sheetFormatPr defaultRowHeight="15" x14ac:dyDescent="0.25"/>
  <cols>
    <col min="1" max="1" width="14" bestFit="1" customWidth="1"/>
    <col min="2" max="2" width="7.85546875" bestFit="1" customWidth="1"/>
    <col min="3" max="3" width="15.7109375" bestFit="1" customWidth="1"/>
    <col min="4" max="4" width="19.28515625" bestFit="1" customWidth="1"/>
  </cols>
  <sheetData>
    <row r="2" spans="1:4" ht="15.75" thickBot="1" x14ac:dyDescent="0.3">
      <c r="A2" s="453" t="s">
        <v>56</v>
      </c>
      <c r="B2" s="453"/>
      <c r="C2" s="453"/>
      <c r="D2" s="453"/>
    </row>
    <row r="3" spans="1:4" x14ac:dyDescent="0.25">
      <c r="A3" s="356" t="s">
        <v>224</v>
      </c>
      <c r="B3" s="357" t="s">
        <v>123</v>
      </c>
      <c r="C3" s="357" t="s">
        <v>225</v>
      </c>
      <c r="D3" s="213" t="s">
        <v>226</v>
      </c>
    </row>
    <row r="4" spans="1:4" x14ac:dyDescent="0.25">
      <c r="A4" s="132">
        <v>0.38500000000000001</v>
      </c>
      <c r="B4" s="321">
        <v>300</v>
      </c>
      <c r="C4" s="321">
        <v>28</v>
      </c>
      <c r="D4" s="133">
        <v>22</v>
      </c>
    </row>
    <row r="5" spans="1:4" x14ac:dyDescent="0.25">
      <c r="A5" s="132">
        <v>0.33</v>
      </c>
      <c r="B5" s="321">
        <v>275</v>
      </c>
      <c r="C5" s="321">
        <v>35</v>
      </c>
      <c r="D5" s="133">
        <v>32</v>
      </c>
    </row>
    <row r="6" spans="1:4" x14ac:dyDescent="0.25">
      <c r="A6" s="132">
        <v>0.27</v>
      </c>
      <c r="B6" s="321">
        <v>250</v>
      </c>
      <c r="C6" s="321">
        <v>83</v>
      </c>
      <c r="D6" s="133">
        <v>65</v>
      </c>
    </row>
    <row r="7" spans="1:4" ht="15.75" thickBot="1" x14ac:dyDescent="0.3">
      <c r="A7" s="134">
        <v>0.22500000000000001</v>
      </c>
      <c r="B7" s="227">
        <v>225</v>
      </c>
      <c r="C7" s="227">
        <v>180</v>
      </c>
      <c r="D7" s="135">
        <v>180</v>
      </c>
    </row>
    <row r="9" spans="1:4" ht="15.75" thickBot="1" x14ac:dyDescent="0.3">
      <c r="A9" s="453" t="s">
        <v>55</v>
      </c>
      <c r="B9" s="453"/>
      <c r="C9" s="453"/>
      <c r="D9" s="453"/>
    </row>
    <row r="10" spans="1:4" ht="15.75" thickBot="1" x14ac:dyDescent="0.3">
      <c r="A10" s="358" t="s">
        <v>224</v>
      </c>
      <c r="B10" s="359" t="s">
        <v>123</v>
      </c>
      <c r="C10" s="359" t="s">
        <v>225</v>
      </c>
      <c r="D10" s="360" t="s">
        <v>226</v>
      </c>
    </row>
    <row r="11" spans="1:4" x14ac:dyDescent="0.25">
      <c r="A11" s="322">
        <v>0.38500000000000001</v>
      </c>
      <c r="B11" s="244">
        <v>300</v>
      </c>
      <c r="C11" s="244">
        <v>25</v>
      </c>
      <c r="D11" s="245">
        <v>25</v>
      </c>
    </row>
    <row r="12" spans="1:4" x14ac:dyDescent="0.25">
      <c r="A12" s="132">
        <v>0.33</v>
      </c>
      <c r="B12" s="212">
        <v>275</v>
      </c>
      <c r="C12" s="212">
        <v>48</v>
      </c>
      <c r="D12" s="133">
        <v>38</v>
      </c>
    </row>
    <row r="13" spans="1:4" x14ac:dyDescent="0.25">
      <c r="A13" s="132">
        <v>0.27</v>
      </c>
      <c r="B13" s="212">
        <v>250</v>
      </c>
      <c r="C13" s="212">
        <v>88</v>
      </c>
      <c r="D13" s="133">
        <v>82</v>
      </c>
    </row>
    <row r="14" spans="1:4" ht="15.75" thickBot="1" x14ac:dyDescent="0.3">
      <c r="A14" s="134">
        <v>0.22500000000000001</v>
      </c>
      <c r="B14" s="225">
        <v>225</v>
      </c>
      <c r="C14" s="225">
        <v>180</v>
      </c>
      <c r="D14" s="135">
        <v>180</v>
      </c>
    </row>
    <row r="16" spans="1:4" ht="15.75" thickBot="1" x14ac:dyDescent="0.3">
      <c r="A16" s="453" t="s">
        <v>54</v>
      </c>
      <c r="B16" s="453"/>
      <c r="C16" s="453"/>
      <c r="D16" s="453"/>
    </row>
    <row r="17" spans="1:4" x14ac:dyDescent="0.25">
      <c r="A17" s="356" t="s">
        <v>224</v>
      </c>
      <c r="B17" s="357" t="s">
        <v>123</v>
      </c>
      <c r="C17" s="357" t="s">
        <v>225</v>
      </c>
      <c r="D17" s="213" t="s">
        <v>226</v>
      </c>
    </row>
    <row r="18" spans="1:4" x14ac:dyDescent="0.25">
      <c r="A18" s="132">
        <v>0.38500000000000001</v>
      </c>
      <c r="B18" s="212">
        <v>300</v>
      </c>
      <c r="C18" s="212">
        <v>28</v>
      </c>
      <c r="D18" s="133">
        <v>24</v>
      </c>
    </row>
    <row r="19" spans="1:4" x14ac:dyDescent="0.25">
      <c r="A19" s="132">
        <v>0.33</v>
      </c>
      <c r="B19" s="212">
        <v>275</v>
      </c>
      <c r="C19" s="212">
        <v>47</v>
      </c>
      <c r="D19" s="133">
        <v>57</v>
      </c>
    </row>
    <row r="20" spans="1:4" x14ac:dyDescent="0.25">
      <c r="A20" s="132">
        <v>0.27</v>
      </c>
      <c r="B20" s="212">
        <v>250</v>
      </c>
      <c r="C20" s="212">
        <v>67</v>
      </c>
      <c r="D20" s="133">
        <v>85</v>
      </c>
    </row>
    <row r="21" spans="1:4" ht="15.75" thickBot="1" x14ac:dyDescent="0.3">
      <c r="A21" s="134">
        <v>0.22500000000000001</v>
      </c>
      <c r="B21" s="225">
        <v>225</v>
      </c>
      <c r="C21" s="225">
        <v>180</v>
      </c>
      <c r="D21" s="135">
        <v>180</v>
      </c>
    </row>
    <row r="27" spans="1:4" x14ac:dyDescent="0.25">
      <c r="D27">
        <v>25</v>
      </c>
    </row>
  </sheetData>
  <mergeCells count="3">
    <mergeCell ref="A2:D2"/>
    <mergeCell ref="A9:D9"/>
    <mergeCell ref="A16:D16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I50"/>
  <sheetViews>
    <sheetView topLeftCell="G13" workbookViewId="0">
      <selection activeCell="AB41" sqref="AB41"/>
    </sheetView>
  </sheetViews>
  <sheetFormatPr defaultRowHeight="15" x14ac:dyDescent="0.25"/>
  <cols>
    <col min="1" max="1" width="19" bestFit="1" customWidth="1"/>
    <col min="2" max="5" width="9.5703125" bestFit="1" customWidth="1"/>
  </cols>
  <sheetData>
    <row r="6" spans="5:19" ht="15.75" thickBot="1" x14ac:dyDescent="0.3"/>
    <row r="7" spans="5:19" x14ac:dyDescent="0.25">
      <c r="E7" s="96"/>
      <c r="F7" s="97"/>
      <c r="G7" s="97"/>
      <c r="H7" s="97"/>
      <c r="I7" s="97"/>
      <c r="J7" s="97"/>
      <c r="K7" s="97"/>
      <c r="L7" s="98"/>
    </row>
    <row r="8" spans="5:19" ht="15.75" thickBot="1" x14ac:dyDescent="0.3">
      <c r="E8" s="99"/>
      <c r="F8" s="100"/>
      <c r="G8" s="100"/>
      <c r="H8" s="100"/>
      <c r="I8" s="100"/>
      <c r="J8" s="100"/>
      <c r="K8" s="100"/>
      <c r="L8" s="101"/>
    </row>
    <row r="9" spans="5:19" ht="15.75" thickBot="1" x14ac:dyDescent="0.3">
      <c r="E9" s="99"/>
      <c r="F9" s="457" t="s">
        <v>76</v>
      </c>
      <c r="G9" s="458"/>
      <c r="H9" s="458"/>
      <c r="I9" s="458"/>
      <c r="J9" s="458"/>
      <c r="K9" s="459"/>
      <c r="L9" s="101"/>
    </row>
    <row r="10" spans="5:19" ht="15.75" thickBot="1" x14ac:dyDescent="0.3">
      <c r="E10" s="99"/>
      <c r="F10" s="454" t="s">
        <v>62</v>
      </c>
      <c r="G10" s="455"/>
      <c r="H10" s="455"/>
      <c r="I10" s="455"/>
      <c r="J10" s="455"/>
      <c r="K10" s="456"/>
      <c r="L10" s="101"/>
    </row>
    <row r="11" spans="5:19" x14ac:dyDescent="0.25">
      <c r="E11" s="99"/>
      <c r="F11" s="466" t="s">
        <v>29</v>
      </c>
      <c r="G11" s="461"/>
      <c r="H11" s="460" t="s">
        <v>28</v>
      </c>
      <c r="I11" s="461"/>
      <c r="J11" s="460" t="s">
        <v>59</v>
      </c>
      <c r="K11" s="461"/>
      <c r="L11" s="102"/>
    </row>
    <row r="12" spans="5:19" ht="15.75" thickBot="1" x14ac:dyDescent="0.3">
      <c r="E12" s="47"/>
      <c r="F12" s="467" t="s">
        <v>60</v>
      </c>
      <c r="G12" s="463"/>
      <c r="H12" s="462" t="s">
        <v>61</v>
      </c>
      <c r="I12" s="463"/>
      <c r="J12" s="462" t="s">
        <v>61</v>
      </c>
      <c r="K12" s="463"/>
      <c r="L12" s="101"/>
      <c r="Q12" s="513" t="s">
        <v>260</v>
      </c>
      <c r="R12" s="513"/>
      <c r="S12" s="513"/>
    </row>
    <row r="13" spans="5:19" ht="15.75" thickBot="1" x14ac:dyDescent="0.3">
      <c r="E13" s="47"/>
      <c r="F13" s="427">
        <v>1.348E-3</v>
      </c>
      <c r="G13" s="428"/>
      <c r="H13" s="464">
        <v>9.4841999999999995E-4</v>
      </c>
      <c r="I13" s="465"/>
      <c r="J13" s="464" t="s">
        <v>75</v>
      </c>
      <c r="K13" s="465"/>
      <c r="L13" s="101"/>
      <c r="Q13" t="s">
        <v>222</v>
      </c>
      <c r="R13">
        <v>2.5</v>
      </c>
      <c r="S13">
        <v>3.2189999999999999</v>
      </c>
    </row>
    <row r="14" spans="5:19" x14ac:dyDescent="0.25">
      <c r="E14" s="99"/>
      <c r="F14" s="100"/>
      <c r="G14" s="100"/>
      <c r="H14" s="100"/>
      <c r="I14" s="100"/>
      <c r="J14" s="100"/>
      <c r="K14" s="100"/>
      <c r="L14" s="101"/>
      <c r="Q14" t="s">
        <v>222</v>
      </c>
      <c r="R14">
        <v>2.8</v>
      </c>
      <c r="S14">
        <v>4.3609999999999998</v>
      </c>
    </row>
    <row r="15" spans="5:19" ht="15.75" thickBot="1" x14ac:dyDescent="0.3">
      <c r="E15" s="103"/>
      <c r="F15" s="104"/>
      <c r="G15" s="104"/>
      <c r="H15" s="104"/>
      <c r="I15" s="104"/>
      <c r="J15" s="104"/>
      <c r="K15" s="104"/>
      <c r="L15" s="105"/>
      <c r="Q15" t="s">
        <v>220</v>
      </c>
      <c r="R15">
        <v>3.2</v>
      </c>
      <c r="S15">
        <v>4.4359999999999999</v>
      </c>
    </row>
    <row r="16" spans="5:19" ht="15.75" thickBot="1" x14ac:dyDescent="0.3">
      <c r="Q16" t="s">
        <v>220</v>
      </c>
      <c r="R16">
        <v>3.7</v>
      </c>
      <c r="S16">
        <v>5.8609999999999998</v>
      </c>
    </row>
    <row r="17" spans="1:35" ht="19.5" thickBot="1" x14ac:dyDescent="0.35">
      <c r="A17" s="549" t="s">
        <v>258</v>
      </c>
      <c r="B17" s="550"/>
      <c r="C17" s="550"/>
      <c r="D17" s="550"/>
      <c r="E17" s="550"/>
      <c r="F17" s="550"/>
      <c r="G17" s="550"/>
      <c r="H17" s="550"/>
      <c r="I17" s="550"/>
      <c r="J17" s="550"/>
      <c r="K17" s="550"/>
      <c r="L17" s="550"/>
      <c r="M17" s="551"/>
      <c r="Q17" t="s">
        <v>223</v>
      </c>
      <c r="R17">
        <v>3.8</v>
      </c>
      <c r="S17">
        <v>6.1280000000000001</v>
      </c>
    </row>
    <row r="18" spans="1:35" ht="15.75" thickBot="1" x14ac:dyDescent="0.3">
      <c r="A18" s="475" t="s">
        <v>256</v>
      </c>
      <c r="B18" s="476"/>
      <c r="C18" s="476"/>
      <c r="D18" s="476"/>
      <c r="E18" s="476"/>
      <c r="F18" s="476"/>
      <c r="G18" s="476"/>
      <c r="H18" s="476"/>
      <c r="I18" s="476"/>
      <c r="J18" s="476"/>
      <c r="K18" s="476"/>
      <c r="L18" s="476"/>
      <c r="M18" s="477"/>
      <c r="Q18" t="s">
        <v>222</v>
      </c>
      <c r="R18">
        <v>4</v>
      </c>
      <c r="S18">
        <v>6.1840000000000002</v>
      </c>
    </row>
    <row r="19" spans="1:35" x14ac:dyDescent="0.25">
      <c r="A19" s="514"/>
      <c r="B19" s="515" t="s">
        <v>222</v>
      </c>
      <c r="C19" s="516"/>
      <c r="D19" s="516"/>
      <c r="E19" s="517"/>
      <c r="F19" s="518" t="s">
        <v>220</v>
      </c>
      <c r="G19" s="519"/>
      <c r="H19" s="519"/>
      <c r="I19" s="520"/>
      <c r="J19" s="521" t="s">
        <v>223</v>
      </c>
      <c r="K19" s="522"/>
      <c r="L19" s="522"/>
      <c r="M19" s="523"/>
      <c r="Q19" t="s">
        <v>223</v>
      </c>
      <c r="R19">
        <v>4</v>
      </c>
      <c r="S19">
        <v>6.2039999999999997</v>
      </c>
    </row>
    <row r="20" spans="1:35" ht="15.75" thickBot="1" x14ac:dyDescent="0.3">
      <c r="A20" s="524"/>
      <c r="B20" s="525" t="s">
        <v>43</v>
      </c>
      <c r="C20" s="526" t="s">
        <v>54</v>
      </c>
      <c r="D20" s="526" t="s">
        <v>55</v>
      </c>
      <c r="E20" s="527" t="s">
        <v>56</v>
      </c>
      <c r="F20" s="525" t="s">
        <v>43</v>
      </c>
      <c r="G20" s="526" t="s">
        <v>54</v>
      </c>
      <c r="H20" s="526" t="s">
        <v>55</v>
      </c>
      <c r="I20" s="527" t="s">
        <v>56</v>
      </c>
      <c r="J20" s="525" t="s">
        <v>43</v>
      </c>
      <c r="K20" s="526" t="s">
        <v>54</v>
      </c>
      <c r="L20" s="526" t="s">
        <v>55</v>
      </c>
      <c r="M20" s="527" t="s">
        <v>56</v>
      </c>
      <c r="Q20" t="s">
        <v>220</v>
      </c>
      <c r="R20">
        <v>5</v>
      </c>
      <c r="S20">
        <v>8.1790000000000003</v>
      </c>
      <c r="T20" s="546"/>
    </row>
    <row r="21" spans="1:35" x14ac:dyDescent="0.25">
      <c r="A21" s="528" t="s">
        <v>243</v>
      </c>
      <c r="B21" s="529" t="s">
        <v>247</v>
      </c>
      <c r="C21" s="530" t="s">
        <v>248</v>
      </c>
      <c r="D21" s="530" t="s">
        <v>249</v>
      </c>
      <c r="E21" s="531" t="s">
        <v>250</v>
      </c>
      <c r="F21" s="532" t="s">
        <v>251</v>
      </c>
      <c r="G21" s="530" t="s">
        <v>252</v>
      </c>
      <c r="H21" s="530" t="s">
        <v>253</v>
      </c>
      <c r="I21" s="533" t="s">
        <v>250</v>
      </c>
      <c r="J21" s="529" t="s">
        <v>252</v>
      </c>
      <c r="K21" s="530" t="s">
        <v>249</v>
      </c>
      <c r="L21" s="530" t="s">
        <v>254</v>
      </c>
      <c r="M21" s="531" t="s">
        <v>255</v>
      </c>
      <c r="Q21" t="s">
        <v>223</v>
      </c>
      <c r="R21">
        <v>5</v>
      </c>
      <c r="S21">
        <v>10.510999999999999</v>
      </c>
      <c r="T21" s="546"/>
    </row>
    <row r="22" spans="1:35" ht="15.75" thickBot="1" x14ac:dyDescent="0.3">
      <c r="A22" s="534" t="s">
        <v>246</v>
      </c>
      <c r="B22" s="535">
        <v>21</v>
      </c>
      <c r="C22" s="536">
        <v>19</v>
      </c>
      <c r="D22" s="536">
        <v>22</v>
      </c>
      <c r="E22" s="537">
        <v>13</v>
      </c>
      <c r="F22" s="538">
        <v>20</v>
      </c>
      <c r="G22" s="536">
        <v>23</v>
      </c>
      <c r="H22" s="536">
        <v>26</v>
      </c>
      <c r="I22" s="539">
        <v>13</v>
      </c>
      <c r="J22" s="535">
        <v>23</v>
      </c>
      <c r="K22" s="536">
        <v>22</v>
      </c>
      <c r="L22" s="536">
        <v>15</v>
      </c>
      <c r="M22" s="537">
        <v>12</v>
      </c>
      <c r="Q22" t="s">
        <v>222</v>
      </c>
      <c r="R22">
        <v>6</v>
      </c>
      <c r="S22">
        <v>10.864000000000001</v>
      </c>
    </row>
    <row r="23" spans="1:35" ht="15.75" thickBot="1" x14ac:dyDescent="0.3">
      <c r="A23" s="540" t="s">
        <v>257</v>
      </c>
      <c r="B23" s="541">
        <v>2.5</v>
      </c>
      <c r="C23" s="542">
        <v>2.8</v>
      </c>
      <c r="D23" s="542">
        <v>4</v>
      </c>
      <c r="E23" s="543">
        <v>6</v>
      </c>
      <c r="F23" s="544">
        <v>3.2</v>
      </c>
      <c r="G23" s="542">
        <v>3.7</v>
      </c>
      <c r="H23" s="542">
        <v>5</v>
      </c>
      <c r="I23" s="545">
        <v>6.8</v>
      </c>
      <c r="J23" s="541">
        <v>3.8</v>
      </c>
      <c r="K23" s="542">
        <v>4</v>
      </c>
      <c r="L23" s="542">
        <v>5</v>
      </c>
      <c r="M23" s="543">
        <v>7.2</v>
      </c>
      <c r="Q23" t="s">
        <v>220</v>
      </c>
      <c r="R23">
        <v>6.8</v>
      </c>
      <c r="S23">
        <v>9.6519999999999992</v>
      </c>
      <c r="T23" s="546"/>
    </row>
    <row r="24" spans="1:35" x14ac:dyDescent="0.25">
      <c r="A24" s="528" t="s">
        <v>244</v>
      </c>
      <c r="B24" s="529">
        <v>3.2189999999999999</v>
      </c>
      <c r="C24" s="530">
        <v>4.3609999999999998</v>
      </c>
      <c r="D24" s="530">
        <v>6.1840000000000002</v>
      </c>
      <c r="E24" s="548">
        <v>10.864000000000001</v>
      </c>
      <c r="F24" s="532">
        <v>4.4359999999999999</v>
      </c>
      <c r="G24" s="530">
        <v>5.8609999999999998</v>
      </c>
      <c r="H24" s="530">
        <v>8.1790000000000003</v>
      </c>
      <c r="I24" s="533">
        <v>9.6519999999999992</v>
      </c>
      <c r="J24" s="529">
        <v>6.1280000000000001</v>
      </c>
      <c r="K24" s="530">
        <v>6.2039999999999997</v>
      </c>
      <c r="L24" s="547">
        <v>10.510999999999999</v>
      </c>
      <c r="M24" s="531">
        <v>11.86</v>
      </c>
      <c r="Q24" t="s">
        <v>223</v>
      </c>
      <c r="R24">
        <v>7.2</v>
      </c>
      <c r="S24">
        <v>11.86</v>
      </c>
    </row>
    <row r="25" spans="1:35" ht="15.75" thickBot="1" x14ac:dyDescent="0.3">
      <c r="A25" s="534" t="s">
        <v>245</v>
      </c>
      <c r="B25" s="535"/>
      <c r="C25" s="536"/>
      <c r="D25" s="536"/>
      <c r="E25" s="537"/>
      <c r="F25" s="538"/>
      <c r="G25" s="536"/>
      <c r="H25" s="536"/>
      <c r="I25" s="539"/>
      <c r="J25" s="535"/>
      <c r="K25" s="536"/>
      <c r="L25" s="536"/>
      <c r="M25" s="537"/>
    </row>
    <row r="30" spans="1:35" ht="15.75" thickBot="1" x14ac:dyDescent="0.3"/>
    <row r="31" spans="1:35" ht="19.5" thickBot="1" x14ac:dyDescent="0.35">
      <c r="A31" s="549" t="s">
        <v>259</v>
      </c>
      <c r="B31" s="55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1"/>
    </row>
    <row r="32" spans="1:35" ht="15.75" thickBot="1" x14ac:dyDescent="0.3">
      <c r="A32" s="475" t="s">
        <v>256</v>
      </c>
      <c r="B32" s="476"/>
      <c r="C32" s="476"/>
      <c r="D32" s="476"/>
      <c r="E32" s="476"/>
      <c r="F32" s="476"/>
      <c r="G32" s="476"/>
      <c r="H32" s="476"/>
      <c r="I32" s="476"/>
      <c r="J32" s="476"/>
      <c r="K32" s="476"/>
      <c r="L32" s="476"/>
      <c r="M32" s="477"/>
      <c r="T32" s="475" t="s">
        <v>237</v>
      </c>
      <c r="U32" s="476"/>
      <c r="V32" s="476"/>
      <c r="W32" s="476"/>
      <c r="X32" s="476"/>
      <c r="Y32" s="476"/>
      <c r="Z32" s="476"/>
      <c r="AA32" s="476"/>
      <c r="AB32" s="476"/>
      <c r="AC32" s="476"/>
      <c r="AD32" s="476"/>
      <c r="AE32" s="476"/>
      <c r="AF32" s="476"/>
      <c r="AG32" s="476"/>
      <c r="AH32" s="476"/>
      <c r="AI32" s="477"/>
    </row>
    <row r="33" spans="1:35" ht="15.75" thickBot="1" x14ac:dyDescent="0.3">
      <c r="A33" s="514"/>
      <c r="B33" s="515" t="s">
        <v>222</v>
      </c>
      <c r="C33" s="516"/>
      <c r="D33" s="516"/>
      <c r="E33" s="517"/>
      <c r="F33" s="518" t="s">
        <v>220</v>
      </c>
      <c r="G33" s="519"/>
      <c r="H33" s="519"/>
      <c r="I33" s="520"/>
      <c r="J33" s="521" t="s">
        <v>223</v>
      </c>
      <c r="K33" s="522"/>
      <c r="L33" s="522"/>
      <c r="M33" s="523"/>
      <c r="N33" s="590" t="s">
        <v>262</v>
      </c>
      <c r="O33" s="591"/>
      <c r="P33" s="591"/>
      <c r="Q33" s="592"/>
      <c r="T33" s="601" t="s">
        <v>222</v>
      </c>
      <c r="U33" s="602"/>
      <c r="V33" s="602"/>
      <c r="W33" s="603"/>
      <c r="X33" s="604" t="s">
        <v>220</v>
      </c>
      <c r="Y33" s="605"/>
      <c r="Z33" s="605"/>
      <c r="AA33" s="606"/>
      <c r="AB33" s="607" t="s">
        <v>223</v>
      </c>
      <c r="AC33" s="608"/>
      <c r="AD33" s="608"/>
      <c r="AE33" s="609"/>
      <c r="AF33" s="610" t="s">
        <v>262</v>
      </c>
      <c r="AG33" s="611"/>
      <c r="AH33" s="611"/>
      <c r="AI33" s="612"/>
    </row>
    <row r="34" spans="1:35" ht="15.75" thickBot="1" x14ac:dyDescent="0.3">
      <c r="A34" s="524"/>
      <c r="B34" s="525" t="s">
        <v>43</v>
      </c>
      <c r="C34" s="526" t="s">
        <v>54</v>
      </c>
      <c r="D34" s="526" t="s">
        <v>55</v>
      </c>
      <c r="E34" s="527" t="s">
        <v>56</v>
      </c>
      <c r="F34" s="525" t="s">
        <v>43</v>
      </c>
      <c r="G34" s="526" t="s">
        <v>54</v>
      </c>
      <c r="H34" s="526" t="s">
        <v>55</v>
      </c>
      <c r="I34" s="527" t="s">
        <v>56</v>
      </c>
      <c r="J34" s="525" t="s">
        <v>43</v>
      </c>
      <c r="K34" s="526" t="s">
        <v>54</v>
      </c>
      <c r="L34" s="526" t="s">
        <v>55</v>
      </c>
      <c r="M34" s="527" t="s">
        <v>56</v>
      </c>
      <c r="N34" s="593" t="s">
        <v>43</v>
      </c>
      <c r="O34" s="594" t="s">
        <v>54</v>
      </c>
      <c r="P34" s="594" t="s">
        <v>55</v>
      </c>
      <c r="Q34" s="595" t="s">
        <v>56</v>
      </c>
      <c r="T34" s="593" t="s">
        <v>43</v>
      </c>
      <c r="U34" s="594" t="s">
        <v>54</v>
      </c>
      <c r="V34" s="594" t="s">
        <v>55</v>
      </c>
      <c r="W34" s="595" t="s">
        <v>56</v>
      </c>
      <c r="X34" s="593" t="s">
        <v>43</v>
      </c>
      <c r="Y34" s="594" t="s">
        <v>54</v>
      </c>
      <c r="Z34" s="594" t="s">
        <v>55</v>
      </c>
      <c r="AA34" s="595" t="s">
        <v>56</v>
      </c>
      <c r="AB34" s="593" t="s">
        <v>43</v>
      </c>
      <c r="AC34" s="594" t="s">
        <v>54</v>
      </c>
      <c r="AD34" s="594" t="s">
        <v>55</v>
      </c>
      <c r="AE34" s="595" t="s">
        <v>56</v>
      </c>
      <c r="AF34" s="593" t="s">
        <v>43</v>
      </c>
      <c r="AG34" s="594" t="s">
        <v>54</v>
      </c>
      <c r="AH34" s="594" t="s">
        <v>55</v>
      </c>
      <c r="AI34" s="595" t="s">
        <v>56</v>
      </c>
    </row>
    <row r="35" spans="1:35" ht="15.75" thickBot="1" x14ac:dyDescent="0.3">
      <c r="A35" s="528" t="s">
        <v>243</v>
      </c>
      <c r="B35" s="556" t="s">
        <v>247</v>
      </c>
      <c r="C35" s="557" t="s">
        <v>248</v>
      </c>
      <c r="D35" s="557" t="s">
        <v>249</v>
      </c>
      <c r="E35" s="558" t="s">
        <v>250</v>
      </c>
      <c r="F35" s="556" t="s">
        <v>251</v>
      </c>
      <c r="G35" s="557" t="s">
        <v>252</v>
      </c>
      <c r="H35" s="557" t="s">
        <v>253</v>
      </c>
      <c r="I35" s="558" t="s">
        <v>250</v>
      </c>
      <c r="J35" s="556" t="s">
        <v>252</v>
      </c>
      <c r="K35" s="557" t="s">
        <v>249</v>
      </c>
      <c r="L35" s="557" t="s">
        <v>254</v>
      </c>
      <c r="M35" s="558" t="s">
        <v>255</v>
      </c>
      <c r="N35" s="96"/>
      <c r="O35" s="97"/>
      <c r="P35" s="97"/>
      <c r="Q35" s="98"/>
      <c r="T35" s="613">
        <v>1.35</v>
      </c>
      <c r="U35" s="614">
        <v>1.125</v>
      </c>
      <c r="V35" s="614">
        <v>0.95</v>
      </c>
      <c r="W35" s="615">
        <v>0.72499999999999998</v>
      </c>
      <c r="X35" s="613">
        <v>1.45</v>
      </c>
      <c r="Y35" s="614">
        <v>1.175</v>
      </c>
      <c r="Z35" s="614">
        <v>0.97499999999999998</v>
      </c>
      <c r="AA35" s="615">
        <v>0.77500000000000002</v>
      </c>
      <c r="AB35" s="613">
        <v>1.85</v>
      </c>
      <c r="AC35" s="614">
        <v>1.575</v>
      </c>
      <c r="AD35" s="614">
        <v>1.375</v>
      </c>
      <c r="AE35" s="615">
        <v>1.125</v>
      </c>
      <c r="AF35" s="613">
        <f>AVERAGE(T35,X35,AB35)</f>
        <v>1.55</v>
      </c>
      <c r="AG35" s="614">
        <f>AVERAGE(U35,Y35,AC35)</f>
        <v>1.2916666666666667</v>
      </c>
      <c r="AH35" s="614">
        <f>AVERAGE(V35,Z35,AD35)</f>
        <v>1.0999999999999999</v>
      </c>
      <c r="AI35" s="615">
        <f>AVERAGE(W35,AA35,AE35)</f>
        <v>0.875</v>
      </c>
    </row>
    <row r="36" spans="1:35" ht="15.75" thickBot="1" x14ac:dyDescent="0.3">
      <c r="A36" s="534" t="s">
        <v>246</v>
      </c>
      <c r="B36" s="559">
        <v>21</v>
      </c>
      <c r="C36" s="555">
        <v>19</v>
      </c>
      <c r="D36" s="555">
        <v>22</v>
      </c>
      <c r="E36" s="560">
        <v>13</v>
      </c>
      <c r="F36" s="559">
        <v>20</v>
      </c>
      <c r="G36" s="555">
        <v>23</v>
      </c>
      <c r="H36" s="555">
        <v>26</v>
      </c>
      <c r="I36" s="560">
        <v>13</v>
      </c>
      <c r="J36" s="559">
        <v>23</v>
      </c>
      <c r="K36" s="555">
        <v>22</v>
      </c>
      <c r="L36" s="555">
        <v>15</v>
      </c>
      <c r="M36" s="560">
        <v>12</v>
      </c>
      <c r="N36" s="99"/>
      <c r="O36" s="100"/>
      <c r="P36" s="100"/>
      <c r="Q36" s="101"/>
    </row>
    <row r="37" spans="1:35" ht="15.75" thickBot="1" x14ac:dyDescent="0.3">
      <c r="A37" s="540" t="s">
        <v>257</v>
      </c>
      <c r="B37" s="561">
        <v>2.5</v>
      </c>
      <c r="C37" s="554">
        <v>2.8</v>
      </c>
      <c r="D37" s="554">
        <v>4</v>
      </c>
      <c r="E37" s="562">
        <v>6</v>
      </c>
      <c r="F37" s="561">
        <v>3.2</v>
      </c>
      <c r="G37" s="554">
        <v>3.7</v>
      </c>
      <c r="H37" s="554">
        <v>5</v>
      </c>
      <c r="I37" s="562">
        <v>6.8</v>
      </c>
      <c r="J37" s="561">
        <v>3.8</v>
      </c>
      <c r="K37" s="554">
        <v>4</v>
      </c>
      <c r="L37" s="554">
        <v>5</v>
      </c>
      <c r="M37" s="562">
        <v>7.2</v>
      </c>
      <c r="N37" s="596">
        <v>3.1666669999999999</v>
      </c>
      <c r="O37" s="589">
        <v>3.5</v>
      </c>
      <c r="P37" s="589">
        <v>4.6666999999999996</v>
      </c>
      <c r="Q37" s="597">
        <v>6.6666699999999999</v>
      </c>
    </row>
    <row r="38" spans="1:35" ht="15.75" thickBot="1" x14ac:dyDescent="0.3">
      <c r="A38" s="552" t="s">
        <v>244</v>
      </c>
      <c r="B38" s="563">
        <v>3.0680000000000001</v>
      </c>
      <c r="C38" s="564">
        <v>3.99</v>
      </c>
      <c r="D38" s="565">
        <v>5.5579999999999998</v>
      </c>
      <c r="E38" s="566">
        <v>8.8610000000000007</v>
      </c>
      <c r="F38" s="563">
        <v>4.0839999999999996</v>
      </c>
      <c r="G38" s="565">
        <v>4.6310000000000002</v>
      </c>
      <c r="H38" s="578">
        <v>6.3</v>
      </c>
      <c r="I38" s="577">
        <v>9.7880000000000003</v>
      </c>
      <c r="J38" s="563">
        <v>4.9809999999999999</v>
      </c>
      <c r="K38" s="565">
        <v>5.5919999999999996</v>
      </c>
      <c r="L38" s="567">
        <v>8.1150000000000002</v>
      </c>
      <c r="M38" s="568">
        <v>10.863</v>
      </c>
      <c r="N38" s="598">
        <v>4.0839999999999996</v>
      </c>
      <c r="O38" s="599">
        <v>4.4000000000000004</v>
      </c>
      <c r="P38" s="599">
        <v>6.1</v>
      </c>
      <c r="Q38" s="600">
        <v>9.4</v>
      </c>
      <c r="AA38">
        <v>7</v>
      </c>
    </row>
    <row r="39" spans="1:35" ht="15.75" thickBot="1" x14ac:dyDescent="0.3">
      <c r="A39" s="553" t="s">
        <v>245</v>
      </c>
      <c r="B39" s="569">
        <f>0.3048*917*B38</f>
        <v>857.51090880000004</v>
      </c>
      <c r="C39" s="570">
        <f>0.3048*917*C38</f>
        <v>1115.211384</v>
      </c>
      <c r="D39" s="570">
        <f t="shared" ref="D39:M39" si="0">0.3048*917*D38</f>
        <v>1553.4698928</v>
      </c>
      <c r="E39" s="571">
        <f t="shared" si="0"/>
        <v>2476.6636776</v>
      </c>
      <c r="F39" s="569">
        <f t="shared" si="0"/>
        <v>1141.4845343999998</v>
      </c>
      <c r="G39" s="570">
        <f t="shared" si="0"/>
        <v>1294.3719096</v>
      </c>
      <c r="H39" s="570">
        <f t="shared" si="0"/>
        <v>1760.8600799999999</v>
      </c>
      <c r="I39" s="571">
        <f t="shared" si="0"/>
        <v>2735.7616607999998</v>
      </c>
      <c r="J39" s="569">
        <f t="shared" si="0"/>
        <v>1392.1974696</v>
      </c>
      <c r="K39" s="570">
        <f t="shared" si="0"/>
        <v>1562.9729471999999</v>
      </c>
      <c r="L39" s="570">
        <f t="shared" si="0"/>
        <v>2268.1554839999999</v>
      </c>
      <c r="M39" s="571">
        <f t="shared" si="0"/>
        <v>3036.2258807999997</v>
      </c>
      <c r="N39" s="570">
        <f>0.3048*917*N38</f>
        <v>1141.4845343999998</v>
      </c>
      <c r="O39" s="571">
        <f t="shared" ref="O39" si="1">0.3048*917*O38</f>
        <v>1229.8070400000001</v>
      </c>
      <c r="P39" s="570">
        <f t="shared" ref="P39" si="2">0.3048*917*P38</f>
        <v>1704.95976</v>
      </c>
      <c r="Q39" s="571">
        <f t="shared" ref="Q39" si="3">0.3048*917*Q38</f>
        <v>2627.31504</v>
      </c>
    </row>
    <row r="40" spans="1:35" x14ac:dyDescent="0.25">
      <c r="A40" s="579" t="s">
        <v>261</v>
      </c>
      <c r="B40" s="582">
        <f>B39*1.2446*(1.885^2)</f>
        <v>3792.2080809769268</v>
      </c>
      <c r="C40" s="580">
        <f>C39*1.2446*(1.885^2)</f>
        <v>4931.8481887542166</v>
      </c>
      <c r="D40" s="580">
        <f>D39*1.2446*(1.885^2)</f>
        <v>6869.97800328219</v>
      </c>
      <c r="E40" s="581">
        <f>E39*1.2446*(1.885^2)</f>
        <v>10952.658346002787</v>
      </c>
      <c r="F40" s="582">
        <f t="shared" ref="F40:M40" si="4">F39*1.2446*(1.885^2)</f>
        <v>5048.0370934516841</v>
      </c>
      <c r="G40" s="580">
        <f t="shared" si="4"/>
        <v>5724.1576346167367</v>
      </c>
      <c r="H40" s="580">
        <f t="shared" si="4"/>
        <v>7787.1287190856046</v>
      </c>
      <c r="I40" s="581">
        <f t="shared" si="4"/>
        <v>12098.478714668239</v>
      </c>
      <c r="J40" s="582">
        <f t="shared" si="4"/>
        <v>6156.7758967881591</v>
      </c>
      <c r="K40" s="580">
        <f t="shared" si="4"/>
        <v>6912.0037773216991</v>
      </c>
      <c r="L40" s="580">
        <f t="shared" si="4"/>
        <v>10030.56342148884</v>
      </c>
      <c r="M40" s="581">
        <f t="shared" si="4"/>
        <v>13427.234805623322</v>
      </c>
      <c r="N40" s="581">
        <f>N39*1.2446*(1.885^2)</f>
        <v>5048.0370934516841</v>
      </c>
      <c r="O40" s="581">
        <f t="shared" ref="O40" si="5">O39*1.2446*(1.885^2)</f>
        <v>5438.6295815835983</v>
      </c>
      <c r="P40" s="581">
        <f t="shared" ref="P40" si="6">P39*1.2446*(1.885^2)</f>
        <v>7539.9182835590782</v>
      </c>
      <c r="Q40" s="581">
        <f t="shared" ref="Q40" si="7">Q39*1.2446*(1.885^2)</f>
        <v>11618.890469746777</v>
      </c>
    </row>
    <row r="41" spans="1:35" x14ac:dyDescent="0.25">
      <c r="B41" s="572">
        <v>80</v>
      </c>
      <c r="C41" s="573">
        <v>62.2</v>
      </c>
      <c r="D41" s="573">
        <v>44.4</v>
      </c>
      <c r="E41" s="574">
        <v>26.7</v>
      </c>
      <c r="AB41" t="s">
        <v>263</v>
      </c>
    </row>
    <row r="42" spans="1:35" x14ac:dyDescent="0.25">
      <c r="B42" s="572"/>
      <c r="D42" s="573"/>
      <c r="E42" s="574"/>
    </row>
    <row r="45" spans="1:35" x14ac:dyDescent="0.25">
      <c r="H45" s="210"/>
      <c r="I45" s="210"/>
      <c r="J45" s="210"/>
    </row>
    <row r="46" spans="1:35" x14ac:dyDescent="0.25">
      <c r="H46" s="210"/>
      <c r="I46" s="575"/>
      <c r="J46" s="210"/>
    </row>
    <row r="47" spans="1:35" x14ac:dyDescent="0.25">
      <c r="H47" s="210"/>
      <c r="I47" s="575"/>
      <c r="J47" s="210"/>
    </row>
    <row r="48" spans="1:35" x14ac:dyDescent="0.25">
      <c r="H48" s="210"/>
      <c r="I48" s="575"/>
      <c r="J48" s="210"/>
    </row>
    <row r="49" spans="8:10" x14ac:dyDescent="0.25">
      <c r="H49" s="210"/>
      <c r="I49" s="576"/>
      <c r="J49" s="210"/>
    </row>
    <row r="50" spans="8:10" x14ac:dyDescent="0.25">
      <c r="H50" s="210"/>
      <c r="I50" s="210"/>
      <c r="J50" s="210"/>
    </row>
  </sheetData>
  <mergeCells count="28">
    <mergeCell ref="AF33:AI33"/>
    <mergeCell ref="T32:AI32"/>
    <mergeCell ref="Q12:S12"/>
    <mergeCell ref="N33:Q33"/>
    <mergeCell ref="T33:W33"/>
    <mergeCell ref="X33:AA33"/>
    <mergeCell ref="AB33:AE33"/>
    <mergeCell ref="A17:M17"/>
    <mergeCell ref="A31:M31"/>
    <mergeCell ref="A32:M32"/>
    <mergeCell ref="B33:E33"/>
    <mergeCell ref="F33:I33"/>
    <mergeCell ref="J33:M33"/>
    <mergeCell ref="B19:E19"/>
    <mergeCell ref="F19:I19"/>
    <mergeCell ref="J19:M19"/>
    <mergeCell ref="A18:M18"/>
    <mergeCell ref="F10:K10"/>
    <mergeCell ref="F9:K9"/>
    <mergeCell ref="J11:K11"/>
    <mergeCell ref="J12:K12"/>
    <mergeCell ref="J13:K13"/>
    <mergeCell ref="F11:G11"/>
    <mergeCell ref="H11:I11"/>
    <mergeCell ref="F13:G13"/>
    <mergeCell ref="H13:I13"/>
    <mergeCell ref="F12:G12"/>
    <mergeCell ref="H12:I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13" baseType="lpstr">
      <vt:lpstr>SOW</vt:lpstr>
      <vt:lpstr>Test Matrix</vt:lpstr>
      <vt:lpstr>CF Calculations</vt:lpstr>
      <vt:lpstr>References</vt:lpstr>
      <vt:lpstr>Tip Velocities</vt:lpstr>
      <vt:lpstr>Linear Ice Accretion</vt:lpstr>
      <vt:lpstr>Min. Shedding Thicknesses</vt:lpstr>
      <vt:lpstr>Power Variation</vt:lpstr>
      <vt:lpstr>Digitzed Areas</vt:lpstr>
      <vt:lpstr>Controller</vt:lpstr>
      <vt:lpstr>Sheet1</vt:lpstr>
      <vt:lpstr>'Test Matrix'!Print_Area</vt:lpstr>
      <vt:lpstr>'Tip Velocities'!Print_Area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 Palacios</dc:creator>
  <cp:lastModifiedBy>Windows User</cp:lastModifiedBy>
  <cp:lastPrinted>2019-04-22T14:21:28Z</cp:lastPrinted>
  <dcterms:created xsi:type="dcterms:W3CDTF">2019-02-21T13:31:59Z</dcterms:created>
  <dcterms:modified xsi:type="dcterms:W3CDTF">2019-08-30T16:22:42Z</dcterms:modified>
</cp:coreProperties>
</file>